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05" windowWidth="15600" windowHeight="9210" activeTab="4"/>
  </bookViews>
  <sheets>
    <sheet name="SSR" sheetId="17" r:id="rId1"/>
    <sheet name="CI specials" sheetId="14" r:id="rId2"/>
    <sheet name="RAM" sheetId="3" r:id="rId3"/>
    <sheet name="Lead" sheetId="20" r:id="rId4"/>
    <sheet name="Data" sheetId="18" r:id="rId5"/>
    <sheet name="Hyd designs" sheetId="25" r:id="rId6"/>
    <sheet name="Design" sheetId="1" r:id="rId7"/>
    <sheet name="Valve chambers" sheetId="2" r:id="rId8"/>
    <sheet name="Intakewell-canal" sheetId="4" r:id="rId9"/>
    <sheet name="Intakewell-SSt" sheetId="5" r:id="rId10"/>
    <sheet name="SS Tank" sheetId="11" r:id="rId11"/>
    <sheet name="RSF" sheetId="16" r:id="rId12"/>
    <sheet name="Pump House" sheetId="6" r:id="rId13"/>
    <sheet name="WQ" sheetId="8" r:id="rId14"/>
    <sheet name="GLBR flat" sheetId="9" r:id="rId15"/>
    <sheet name="GLBR Dome" sheetId="10" r:id="rId16"/>
    <sheet name="Sump 40kl Flat" sheetId="36" r:id="rId17"/>
    <sheet name="Sump 60kl Flat" sheetId="12" r:id="rId18"/>
    <sheet name="Sump Dome" sheetId="13" r:id="rId19"/>
    <sheet name="Single column" sheetId="15" r:id="rId20"/>
    <sheet name="Sump rec" sheetId="19" r:id="rId21"/>
    <sheet name="C well" sheetId="22" r:id="rId22"/>
    <sheet name="Staircase" sheetId="7" r:id="rId23"/>
    <sheet name="Shaft type" sheetId="21" r:id="rId24"/>
    <sheet name="OHBR-Col" sheetId="23" r:id="rId25"/>
    <sheet name="OHSR Lit" sheetId="24" r:id="rId26"/>
    <sheet name="VC 80" sheetId="26" r:id="rId27"/>
    <sheet name="VC 200" sheetId="27" r:id="rId28"/>
    <sheet name="VC 450" sheetId="28" r:id="rId29"/>
    <sheet name="VC 600" sheetId="29" r:id="rId30"/>
    <sheet name="VC 700" sheetId="30" r:id="rId31"/>
    <sheet name="VC 1000" sheetId="31" r:id="rId32"/>
    <sheet name="Sheet6" sheetId="32" r:id="rId33"/>
    <sheet name="Sheet7" sheetId="33" r:id="rId34"/>
    <sheet name="Sheet8" sheetId="34" r:id="rId35"/>
    <sheet name="Sheet9" sheetId="35" r:id="rId36"/>
  </sheets>
  <externalReferences>
    <externalReference r:id="rId37"/>
  </externalReferences>
  <calcPr calcId="144525"/>
</workbook>
</file>

<file path=xl/calcChain.xml><?xml version="1.0" encoding="utf-8"?>
<calcChain xmlns="http://schemas.openxmlformats.org/spreadsheetml/2006/main">
  <c r="K110" i="24" l="1"/>
  <c r="K109" i="24"/>
  <c r="I74" i="11"/>
  <c r="H74" i="11"/>
  <c r="G74" i="11"/>
  <c r="E74" i="11"/>
  <c r="D74" i="11"/>
  <c r="C73" i="11"/>
  <c r="B65" i="8" l="1"/>
  <c r="J970" i="18"/>
  <c r="J980" i="18" s="1"/>
  <c r="J988" i="18" s="1"/>
  <c r="F927" i="18"/>
  <c r="F923" i="18"/>
  <c r="C923" i="18"/>
  <c r="I923" i="18" s="1"/>
  <c r="F897" i="18"/>
  <c r="F893" i="18"/>
  <c r="C893" i="18"/>
  <c r="F867" i="18"/>
  <c r="F863" i="18"/>
  <c r="C863" i="18"/>
  <c r="I863" i="18" s="1"/>
  <c r="F837" i="18"/>
  <c r="F833" i="18"/>
  <c r="C833" i="18"/>
  <c r="M746" i="18"/>
  <c r="M747" i="18" s="1"/>
  <c r="M748" i="18" s="1"/>
  <c r="M749" i="18" s="1"/>
  <c r="M750" i="18" s="1"/>
  <c r="M751" i="18" s="1"/>
  <c r="M752" i="18" s="1"/>
  <c r="M753" i="18" s="1"/>
  <c r="M754" i="18" s="1"/>
  <c r="M755" i="18" s="1"/>
  <c r="M756" i="18" s="1"/>
  <c r="M757" i="18" s="1"/>
  <c r="M758" i="18" s="1"/>
  <c r="M759" i="18" s="1"/>
  <c r="M760" i="18" s="1"/>
  <c r="M761" i="18" s="1"/>
  <c r="M762" i="18" s="1"/>
  <c r="M763" i="18" s="1"/>
  <c r="G30" i="17"/>
  <c r="K30" i="17"/>
  <c r="I30" i="17"/>
  <c r="K29" i="17"/>
  <c r="I29" i="17"/>
  <c r="K28" i="17"/>
  <c r="I28" i="17"/>
  <c r="K25" i="17"/>
  <c r="I25" i="17"/>
  <c r="I24" i="17"/>
  <c r="K24" i="17" s="1"/>
  <c r="J22" i="17"/>
  <c r="H24" i="17"/>
  <c r="M15" i="20"/>
  <c r="H54" i="25"/>
  <c r="H33" i="25"/>
  <c r="H9" i="25"/>
  <c r="E4" i="3"/>
  <c r="N19" i="20"/>
  <c r="N18" i="20"/>
  <c r="P4" i="20"/>
  <c r="R4" i="20" s="1"/>
  <c r="D21" i="20"/>
  <c r="D24" i="20" s="1"/>
  <c r="D12" i="20"/>
  <c r="D10" i="20"/>
  <c r="D9" i="20"/>
  <c r="D7" i="20"/>
  <c r="D18" i="20" s="1"/>
  <c r="D19" i="20" s="1"/>
  <c r="D20" i="20" s="1"/>
  <c r="D25" i="20"/>
  <c r="P68" i="17"/>
  <c r="O70" i="17"/>
  <c r="O69" i="17"/>
  <c r="O64" i="17"/>
  <c r="O65" i="17"/>
  <c r="O66" i="17"/>
  <c r="O67" i="17"/>
  <c r="O63" i="17"/>
  <c r="I833" i="18" l="1"/>
  <c r="I893" i="18"/>
  <c r="M764" i="18"/>
  <c r="M765" i="18" s="1"/>
  <c r="M766" i="18" s="1"/>
  <c r="M767" i="18" s="1"/>
  <c r="M768" i="18" s="1"/>
  <c r="M769" i="18" s="1"/>
  <c r="M770" i="18" s="1"/>
  <c r="M771" i="18" s="1"/>
  <c r="M772" i="18" s="1"/>
  <c r="M773" i="18" s="1"/>
  <c r="M774" i="18" s="1"/>
  <c r="M775" i="18" s="1"/>
  <c r="M776" i="18" s="1"/>
  <c r="M777" i="18" s="1"/>
  <c r="M778" i="18" s="1"/>
  <c r="M779" i="18" s="1"/>
  <c r="M780" i="18" s="1"/>
  <c r="M781" i="18" s="1"/>
  <c r="K748" i="18"/>
  <c r="O748" i="18" s="1"/>
  <c r="K750" i="18"/>
  <c r="O750" i="18" s="1"/>
  <c r="K752" i="18"/>
  <c r="O752" i="18" s="1"/>
  <c r="K754" i="18"/>
  <c r="O754" i="18" s="1"/>
  <c r="K756" i="18"/>
  <c r="O756" i="18" s="1"/>
  <c r="K768" i="18"/>
  <c r="O768" i="18" s="1"/>
  <c r="K749" i="18"/>
  <c r="O749" i="18" s="1"/>
  <c r="K751" i="18"/>
  <c r="O751" i="18" s="1"/>
  <c r="K753" i="18"/>
  <c r="O753" i="18" s="1"/>
  <c r="K755" i="18"/>
  <c r="O755" i="18" s="1"/>
  <c r="K759" i="18"/>
  <c r="O759" i="18" s="1"/>
  <c r="K747" i="18"/>
  <c r="D756" i="18"/>
  <c r="D754" i="18"/>
  <c r="D752" i="18"/>
  <c r="D755" i="18"/>
  <c r="D753" i="18"/>
  <c r="D751" i="18"/>
  <c r="I38" i="17"/>
  <c r="C1" i="14"/>
  <c r="B1" i="3" s="1"/>
  <c r="D1" i="14"/>
  <c r="K2" i="20" s="1"/>
  <c r="H1673" i="18"/>
  <c r="H1507" i="18"/>
  <c r="J23" i="20"/>
  <c r="J22" i="20"/>
  <c r="J21" i="20"/>
  <c r="J24" i="20" s="1"/>
  <c r="J20" i="20"/>
  <c r="J19" i="20"/>
  <c r="J18" i="20"/>
  <c r="J14" i="20"/>
  <c r="J13" i="20"/>
  <c r="J12" i="20"/>
  <c r="J11" i="20"/>
  <c r="J10" i="20"/>
  <c r="J9" i="20"/>
  <c r="J8" i="20"/>
  <c r="J7" i="20"/>
  <c r="J6" i="20"/>
  <c r="J25" i="20" s="1"/>
  <c r="F68" i="36"/>
  <c r="F66" i="36"/>
  <c r="B58" i="36"/>
  <c r="F57" i="36"/>
  <c r="F55" i="36"/>
  <c r="F53" i="36"/>
  <c r="E49" i="36"/>
  <c r="E48" i="36"/>
  <c r="E47" i="36"/>
  <c r="B44" i="36"/>
  <c r="I29" i="36"/>
  <c r="F51" i="36" s="1"/>
  <c r="H29" i="36"/>
  <c r="E24" i="36"/>
  <c r="E68" i="36" s="1"/>
  <c r="G68" i="36" s="1"/>
  <c r="C22" i="36"/>
  <c r="E57" i="36" s="1"/>
  <c r="E16" i="36"/>
  <c r="F61" i="36" s="1"/>
  <c r="B7" i="36"/>
  <c r="L6" i="36"/>
  <c r="E2180" i="18"/>
  <c r="E22" i="18"/>
  <c r="C1119" i="18"/>
  <c r="C712" i="18"/>
  <c r="C704" i="18"/>
  <c r="C576" i="18"/>
  <c r="C528" i="18"/>
  <c r="C451" i="18"/>
  <c r="C443" i="18"/>
  <c r="H5" i="18"/>
  <c r="D748" i="18" l="1"/>
  <c r="K764" i="18"/>
  <c r="C1" i="3"/>
  <c r="K760" i="18"/>
  <c r="O760" i="18" s="1"/>
  <c r="D750" i="18"/>
  <c r="D749" i="18"/>
  <c r="D759" i="18"/>
  <c r="D768" i="18"/>
  <c r="K757" i="18"/>
  <c r="K766" i="18"/>
  <c r="K762" i="18"/>
  <c r="K758" i="18"/>
  <c r="K767" i="18"/>
  <c r="K763" i="18"/>
  <c r="O747" i="18"/>
  <c r="D747" i="18"/>
  <c r="K765" i="18"/>
  <c r="K761" i="18"/>
  <c r="D33" i="36"/>
  <c r="F43" i="36" s="1"/>
  <c r="D57" i="36"/>
  <c r="G57" i="36" s="1"/>
  <c r="E61" i="36"/>
  <c r="G61" i="36" s="1"/>
  <c r="F62" i="36"/>
  <c r="E66" i="36"/>
  <c r="G66" i="36" s="1"/>
  <c r="E30" i="36"/>
  <c r="D34" i="36"/>
  <c r="E59" i="36"/>
  <c r="E62" i="36"/>
  <c r="R7" i="20"/>
  <c r="R6" i="20"/>
  <c r="S7" i="20" s="1"/>
  <c r="S8" i="20" s="1"/>
  <c r="P7" i="20"/>
  <c r="P6" i="20"/>
  <c r="F172" i="18"/>
  <c r="G172" i="18" s="1"/>
  <c r="F171" i="18"/>
  <c r="G171" i="18" s="1"/>
  <c r="T55" i="3"/>
  <c r="H1863" i="18"/>
  <c r="D760" i="18" l="1"/>
  <c r="O764" i="18"/>
  <c r="D764" i="18"/>
  <c r="O767" i="18"/>
  <c r="D767" i="18"/>
  <c r="O762" i="18"/>
  <c r="D762" i="18"/>
  <c r="O757" i="18"/>
  <c r="D757" i="18"/>
  <c r="O758" i="18"/>
  <c r="D758" i="18"/>
  <c r="O766" i="18"/>
  <c r="D766" i="18"/>
  <c r="O763" i="18"/>
  <c r="D763" i="18"/>
  <c r="O761" i="18"/>
  <c r="D761" i="18"/>
  <c r="O765" i="18"/>
  <c r="D765" i="18"/>
  <c r="G59" i="36"/>
  <c r="F59" i="36"/>
  <c r="D55" i="36"/>
  <c r="D53" i="36"/>
  <c r="D51" i="36"/>
  <c r="G62" i="36"/>
  <c r="E63" i="36"/>
  <c r="L58" i="17"/>
  <c r="L56" i="17"/>
  <c r="I56" i="17"/>
  <c r="I65" i="17"/>
  <c r="I64" i="17"/>
  <c r="I63" i="17"/>
  <c r="I62" i="17"/>
  <c r="I61" i="17"/>
  <c r="I60" i="17"/>
  <c r="I59" i="17"/>
  <c r="I58" i="17"/>
  <c r="I57" i="17"/>
  <c r="I55" i="17"/>
  <c r="I54" i="17"/>
  <c r="G18" i="31"/>
  <c r="F18" i="31"/>
  <c r="I18" i="31" s="1"/>
  <c r="I15" i="31"/>
  <c r="F14" i="31"/>
  <c r="I14" i="31" s="1"/>
  <c r="I16" i="31" s="1"/>
  <c r="G12" i="31"/>
  <c r="F12" i="31"/>
  <c r="I12" i="31" s="1"/>
  <c r="H7" i="31"/>
  <c r="G7" i="31"/>
  <c r="G9" i="31" s="1"/>
  <c r="F7" i="31"/>
  <c r="F9" i="31" s="1"/>
  <c r="G14" i="30"/>
  <c r="G13" i="30"/>
  <c r="G15" i="30" s="1"/>
  <c r="D13" i="30"/>
  <c r="E10" i="30"/>
  <c r="E17" i="30" s="1"/>
  <c r="D10" i="30"/>
  <c r="D17" i="30" s="1"/>
  <c r="E8" i="30"/>
  <c r="E6" i="30"/>
  <c r="D6" i="30"/>
  <c r="D8" i="30" s="1"/>
  <c r="G8" i="30" s="1"/>
  <c r="G14" i="29"/>
  <c r="G13" i="29"/>
  <c r="E12" i="29"/>
  <c r="D12" i="29"/>
  <c r="G12" i="29" s="1"/>
  <c r="G9" i="29"/>
  <c r="F7" i="29"/>
  <c r="E7" i="29"/>
  <c r="D7" i="29"/>
  <c r="G7" i="29" s="1"/>
  <c r="G14" i="28"/>
  <c r="G13" i="28"/>
  <c r="E12" i="28"/>
  <c r="D12" i="28"/>
  <c r="G12" i="28" s="1"/>
  <c r="G9" i="28"/>
  <c r="F7" i="28"/>
  <c r="E7" i="28"/>
  <c r="D7" i="28"/>
  <c r="G7" i="28" s="1"/>
  <c r="G14" i="27"/>
  <c r="G13" i="27"/>
  <c r="E12" i="27"/>
  <c r="D12" i="27"/>
  <c r="G12" i="27" s="1"/>
  <c r="G9" i="27"/>
  <c r="F7" i="27"/>
  <c r="G7" i="27" s="1"/>
  <c r="E14" i="26"/>
  <c r="G14" i="26" s="1"/>
  <c r="D13" i="26"/>
  <c r="G13" i="26" s="1"/>
  <c r="E12" i="26"/>
  <c r="D12" i="26"/>
  <c r="G12" i="26" s="1"/>
  <c r="E7" i="26"/>
  <c r="E9" i="26" s="1"/>
  <c r="G9" i="26" s="1"/>
  <c r="D7" i="26"/>
  <c r="G7" i="26" s="1"/>
  <c r="A1" i="22"/>
  <c r="B48" i="22"/>
  <c r="A86" i="21"/>
  <c r="K4" i="20"/>
  <c r="A3" i="20"/>
  <c r="A2" i="19"/>
  <c r="B1" i="18"/>
  <c r="G1354" i="18"/>
  <c r="F1354" i="18"/>
  <c r="F1334" i="18"/>
  <c r="C1336" i="18" s="1"/>
  <c r="F1314" i="18"/>
  <c r="C1316" i="18" s="1"/>
  <c r="G1274" i="18"/>
  <c r="F1272" i="18"/>
  <c r="F1254" i="18"/>
  <c r="C1237" i="18"/>
  <c r="G1127" i="18"/>
  <c r="F1127" i="18"/>
  <c r="D1098" i="18"/>
  <c r="F1088" i="18"/>
  <c r="F1079" i="18"/>
  <c r="C1081" i="18" s="1"/>
  <c r="G1070" i="18"/>
  <c r="F1070" i="18"/>
  <c r="C1063" i="18"/>
  <c r="C1073" i="18" s="1"/>
  <c r="G1060" i="18"/>
  <c r="F1060" i="18"/>
  <c r="G1043" i="18"/>
  <c r="F1043" i="18"/>
  <c r="G1009" i="18"/>
  <c r="G999" i="18"/>
  <c r="F1009" i="18"/>
  <c r="F999" i="18"/>
  <c r="C964" i="18"/>
  <c r="E967" i="18" s="1"/>
  <c r="D961" i="18"/>
  <c r="C963" i="18" s="1"/>
  <c r="C954" i="18"/>
  <c r="E958" i="18" s="1"/>
  <c r="D951" i="18"/>
  <c r="C953" i="18" s="1"/>
  <c r="C733" i="18"/>
  <c r="E968" i="18"/>
  <c r="C741" i="18"/>
  <c r="F2174" i="18"/>
  <c r="G2057" i="18"/>
  <c r="G2056" i="18"/>
  <c r="G2055" i="18"/>
  <c r="G2054" i="18"/>
  <c r="G2053" i="18"/>
  <c r="G2052" i="18"/>
  <c r="G2051" i="18"/>
  <c r="H1798" i="18"/>
  <c r="I1798" i="18" s="1"/>
  <c r="I1799" i="18" s="1"/>
  <c r="I1807" i="18" s="1"/>
  <c r="F1375" i="18"/>
  <c r="G1362" i="18"/>
  <c r="G1356" i="18"/>
  <c r="G1342" i="18"/>
  <c r="G1336" i="18"/>
  <c r="G1322" i="18"/>
  <c r="F1316" i="18"/>
  <c r="G1282" i="18"/>
  <c r="F1276" i="18"/>
  <c r="G1262" i="18"/>
  <c r="F1257" i="18"/>
  <c r="F1247" i="18"/>
  <c r="F1246" i="18"/>
  <c r="F1237" i="18"/>
  <c r="I1237" i="18" s="1"/>
  <c r="F1236" i="18"/>
  <c r="F1227" i="18"/>
  <c r="F1226" i="18"/>
  <c r="F1217" i="18"/>
  <c r="F1216" i="18"/>
  <c r="F1207" i="18"/>
  <c r="F1206" i="18"/>
  <c r="F1197" i="18"/>
  <c r="F1196" i="18"/>
  <c r="F1187" i="18"/>
  <c r="F1177" i="18"/>
  <c r="F1176" i="18"/>
  <c r="F1186" i="18" s="1"/>
  <c r="G1145" i="18"/>
  <c r="F1140" i="18"/>
  <c r="I1140" i="18" s="1"/>
  <c r="F1139" i="18"/>
  <c r="F1130" i="18"/>
  <c r="F1129" i="18"/>
  <c r="F1120" i="18"/>
  <c r="I1120" i="18" s="1"/>
  <c r="F1119" i="18"/>
  <c r="F1112" i="18"/>
  <c r="I1112" i="18" s="1"/>
  <c r="F1111" i="18"/>
  <c r="F1101" i="18"/>
  <c r="F1100" i="18"/>
  <c r="F1091" i="18"/>
  <c r="F1090" i="18"/>
  <c r="F1082" i="18"/>
  <c r="F1081" i="18"/>
  <c r="F1073" i="18"/>
  <c r="F1072" i="18"/>
  <c r="F1063" i="18"/>
  <c r="F1062" i="18"/>
  <c r="F1051" i="18"/>
  <c r="F1045" i="18"/>
  <c r="F1017" i="18"/>
  <c r="F1011" i="18"/>
  <c r="F1001" i="18"/>
  <c r="F983" i="18"/>
  <c r="F974" i="18"/>
  <c r="F967" i="18"/>
  <c r="F964" i="18"/>
  <c r="F963" i="18"/>
  <c r="F957" i="18"/>
  <c r="F954" i="18"/>
  <c r="F953" i="18"/>
  <c r="F807" i="18"/>
  <c r="F803" i="18"/>
  <c r="F773" i="18"/>
  <c r="F747" i="18"/>
  <c r="F741" i="18"/>
  <c r="P747" i="18" s="1"/>
  <c r="F733" i="18"/>
  <c r="F732" i="18"/>
  <c r="F721" i="18"/>
  <c r="I721" i="18" s="1"/>
  <c r="F712" i="18"/>
  <c r="F704" i="18"/>
  <c r="I704" i="18" s="1"/>
  <c r="F695" i="18"/>
  <c r="F687" i="18"/>
  <c r="F686" i="18"/>
  <c r="F685" i="18"/>
  <c r="F675" i="18"/>
  <c r="F666" i="18"/>
  <c r="F665" i="18"/>
  <c r="F657" i="18"/>
  <c r="I657" i="18" s="1"/>
  <c r="F656" i="18"/>
  <c r="F655" i="18"/>
  <c r="I655" i="18" s="1"/>
  <c r="F648" i="18"/>
  <c r="F640" i="18"/>
  <c r="F632" i="18"/>
  <c r="F626" i="18"/>
  <c r="F617" i="18"/>
  <c r="F609" i="18"/>
  <c r="F601" i="18"/>
  <c r="F584" i="18"/>
  <c r="F577" i="18"/>
  <c r="F576" i="18"/>
  <c r="F569" i="18"/>
  <c r="F561" i="18"/>
  <c r="F552" i="18"/>
  <c r="F536" i="18"/>
  <c r="F529" i="18"/>
  <c r="F528" i="18"/>
  <c r="F521" i="18"/>
  <c r="F506" i="18"/>
  <c r="F498" i="18"/>
  <c r="I498" i="18" s="1"/>
  <c r="F490" i="18"/>
  <c r="F482" i="18"/>
  <c r="F474" i="18"/>
  <c r="F459" i="18"/>
  <c r="F451" i="18"/>
  <c r="F443" i="18"/>
  <c r="F436" i="18"/>
  <c r="F427" i="18"/>
  <c r="I427" i="18" s="1"/>
  <c r="F419" i="18"/>
  <c r="F411" i="18"/>
  <c r="I411" i="18" s="1"/>
  <c r="F410" i="18"/>
  <c r="F409" i="18"/>
  <c r="I409" i="18" s="1"/>
  <c r="F407" i="18"/>
  <c r="F399" i="18"/>
  <c r="F398" i="18"/>
  <c r="F397" i="18"/>
  <c r="I397" i="18" s="1"/>
  <c r="F396" i="18"/>
  <c r="F395" i="18"/>
  <c r="I395" i="18" s="1"/>
  <c r="F386" i="18"/>
  <c r="F385" i="18"/>
  <c r="F384" i="18"/>
  <c r="F383" i="18"/>
  <c r="F382" i="18"/>
  <c r="F381" i="18"/>
  <c r="F380" i="18"/>
  <c r="F367" i="18"/>
  <c r="I367" i="18" s="1"/>
  <c r="F366" i="18"/>
  <c r="F365" i="18"/>
  <c r="I365" i="18" s="1"/>
  <c r="F364" i="18"/>
  <c r="F356" i="18"/>
  <c r="F347" i="18"/>
  <c r="F338" i="18"/>
  <c r="H330" i="18"/>
  <c r="F323" i="18"/>
  <c r="F322" i="18"/>
  <c r="F320" i="18"/>
  <c r="G311" i="18"/>
  <c r="G309" i="18"/>
  <c r="F673" i="18" s="1"/>
  <c r="I673" i="18" s="1"/>
  <c r="G295" i="18"/>
  <c r="G294" i="18"/>
  <c r="G292" i="18"/>
  <c r="G284" i="18"/>
  <c r="I284" i="18" s="1"/>
  <c r="G283" i="18"/>
  <c r="G274" i="18"/>
  <c r="I274" i="18" s="1"/>
  <c r="G273" i="18"/>
  <c r="I266" i="18"/>
  <c r="G257" i="18"/>
  <c r="G256" i="18"/>
  <c r="G255" i="18"/>
  <c r="I238" i="18"/>
  <c r="F230" i="18"/>
  <c r="F229" i="18"/>
  <c r="I229" i="18" s="1"/>
  <c r="F228" i="18"/>
  <c r="F220" i="18"/>
  <c r="I220" i="18" s="1"/>
  <c r="F219" i="18"/>
  <c r="G209" i="18"/>
  <c r="F170" i="18"/>
  <c r="F169" i="18"/>
  <c r="F168" i="18"/>
  <c r="F167" i="18"/>
  <c r="F166" i="18"/>
  <c r="F165" i="18"/>
  <c r="F164" i="18"/>
  <c r="F163" i="18"/>
  <c r="F162" i="18"/>
  <c r="F161" i="18"/>
  <c r="F154" i="18"/>
  <c r="F144" i="18"/>
  <c r="G136" i="18"/>
  <c r="G135" i="18"/>
  <c r="G123" i="18"/>
  <c r="G122" i="18"/>
  <c r="I122" i="18" s="1"/>
  <c r="G121" i="18"/>
  <c r="G120" i="18"/>
  <c r="G133" i="18" s="1"/>
  <c r="I133" i="18" s="1"/>
  <c r="G119" i="18"/>
  <c r="G110" i="18"/>
  <c r="G109" i="18"/>
  <c r="G108" i="18"/>
  <c r="G107" i="18"/>
  <c r="G106" i="18"/>
  <c r="G105" i="18"/>
  <c r="G104" i="18"/>
  <c r="G92" i="18"/>
  <c r="G91" i="18"/>
  <c r="I91" i="18" s="1"/>
  <c r="G90" i="18"/>
  <c r="G80" i="18"/>
  <c r="G79" i="18"/>
  <c r="G69" i="18"/>
  <c r="G68" i="18"/>
  <c r="G56" i="18"/>
  <c r="I56" i="18" s="1"/>
  <c r="G55" i="18"/>
  <c r="G54" i="18"/>
  <c r="I54" i="18" s="1"/>
  <c r="G53" i="18"/>
  <c r="G40" i="18"/>
  <c r="I40" i="18" s="1"/>
  <c r="G39" i="18"/>
  <c r="G38" i="18"/>
  <c r="I38" i="18" s="1"/>
  <c r="G37" i="18"/>
  <c r="I27" i="18"/>
  <c r="I20" i="18"/>
  <c r="F15" i="18"/>
  <c r="I9" i="18"/>
  <c r="A1" i="16"/>
  <c r="B56" i="15"/>
  <c r="C19" i="15"/>
  <c r="G15" i="15"/>
  <c r="G14" i="15"/>
  <c r="K114" i="14"/>
  <c r="K113" i="14"/>
  <c r="K112" i="14"/>
  <c r="K111" i="14"/>
  <c r="K110" i="14"/>
  <c r="K109" i="14"/>
  <c r="K108" i="14"/>
  <c r="K107" i="14"/>
  <c r="K106" i="14"/>
  <c r="K105" i="14"/>
  <c r="K104" i="14"/>
  <c r="K103" i="14"/>
  <c r="D4" i="14"/>
  <c r="D7" i="14"/>
  <c r="D6" i="14"/>
  <c r="D5" i="14"/>
  <c r="F2" i="14"/>
  <c r="A2" i="13"/>
  <c r="D46" i="13"/>
  <c r="D45" i="13"/>
  <c r="B44" i="12"/>
  <c r="B7" i="12"/>
  <c r="B60" i="11"/>
  <c r="C2" i="10"/>
  <c r="C46" i="10"/>
  <c r="C48" i="9"/>
  <c r="C7" i="9"/>
  <c r="B4" i="8"/>
  <c r="B1" i="8"/>
  <c r="H71" i="22"/>
  <c r="H70" i="22"/>
  <c r="H68" i="22"/>
  <c r="H67" i="22"/>
  <c r="B72" i="16"/>
  <c r="B70" i="15"/>
  <c r="C76" i="11"/>
  <c r="A2" i="7"/>
  <c r="A34" i="6"/>
  <c r="C25" i="5"/>
  <c r="C10" i="5"/>
  <c r="C8" i="4"/>
  <c r="F59" i="4"/>
  <c r="A10" i="2"/>
  <c r="B64" i="24"/>
  <c r="C19" i="24"/>
  <c r="F101" i="24"/>
  <c r="A56" i="23"/>
  <c r="C80" i="24"/>
  <c r="H5" i="24"/>
  <c r="G14" i="24"/>
  <c r="G13" i="24"/>
  <c r="D92" i="3"/>
  <c r="M48" i="3"/>
  <c r="M47" i="3"/>
  <c r="M46" i="3"/>
  <c r="K17" i="3"/>
  <c r="K16" i="3"/>
  <c r="K18" i="3" s="1"/>
  <c r="D180" i="3"/>
  <c r="D646" i="18" s="1"/>
  <c r="C648" i="18" s="1"/>
  <c r="I648" i="18" s="1"/>
  <c r="D179" i="3"/>
  <c r="D638" i="18" s="1"/>
  <c r="C640" i="18" s="1"/>
  <c r="E174" i="3"/>
  <c r="D971" i="18" s="1"/>
  <c r="F973" i="18" s="1"/>
  <c r="E173" i="3"/>
  <c r="F730" i="18" s="1"/>
  <c r="E172" i="3"/>
  <c r="G730" i="18" s="1"/>
  <c r="E171" i="3"/>
  <c r="E170" i="3"/>
  <c r="B80" i="22" s="1"/>
  <c r="E169" i="3"/>
  <c r="E168" i="3"/>
  <c r="E167" i="3"/>
  <c r="D801" i="18" s="1"/>
  <c r="C803" i="18" s="1"/>
  <c r="E166" i="3"/>
  <c r="F771" i="18" s="1"/>
  <c r="E165" i="3"/>
  <c r="K163" i="3"/>
  <c r="H159" i="3"/>
  <c r="C160" i="3"/>
  <c r="E156" i="3"/>
  <c r="F1244" i="18" s="1"/>
  <c r="C1246" i="18" s="1"/>
  <c r="D153" i="3"/>
  <c r="F1214" i="18" s="1"/>
  <c r="E154" i="3"/>
  <c r="F1224" i="18" s="1"/>
  <c r="C1226" i="18" s="1"/>
  <c r="I1226" i="18" s="1"/>
  <c r="E153" i="3"/>
  <c r="G1214" i="18" s="1"/>
  <c r="E152" i="3"/>
  <c r="E151" i="3"/>
  <c r="G1194" i="18" s="1"/>
  <c r="D151" i="3"/>
  <c r="F1194" i="18" s="1"/>
  <c r="E150" i="3"/>
  <c r="E149" i="3"/>
  <c r="E148" i="3"/>
  <c r="G143" i="3"/>
  <c r="G142" i="3"/>
  <c r="C1177" i="18" s="1"/>
  <c r="C1197" i="18" s="1"/>
  <c r="C1207" i="18" s="1"/>
  <c r="C1227" i="18" s="1"/>
  <c r="I1227" i="18" s="1"/>
  <c r="C143" i="3"/>
  <c r="K130" i="3"/>
  <c r="K129" i="3"/>
  <c r="G130" i="3"/>
  <c r="C1082" i="18" s="1"/>
  <c r="C1091" i="18" s="1"/>
  <c r="L111" i="3"/>
  <c r="I114" i="3"/>
  <c r="I113" i="3"/>
  <c r="I115" i="3" s="1"/>
  <c r="C129" i="3"/>
  <c r="E124" i="3"/>
  <c r="D693" i="18" s="1"/>
  <c r="C695" i="18" s="1"/>
  <c r="F116" i="3"/>
  <c r="D598" i="18" s="1"/>
  <c r="F600" i="18" s="1"/>
  <c r="F115" i="3"/>
  <c r="D590" i="18" s="1"/>
  <c r="F114" i="3"/>
  <c r="D582" i="18" s="1"/>
  <c r="C584" i="18" s="1"/>
  <c r="F113" i="3"/>
  <c r="F112" i="3"/>
  <c r="F111" i="3"/>
  <c r="D567" i="18" s="1"/>
  <c r="C569" i="18" s="1"/>
  <c r="E116" i="3"/>
  <c r="D558" i="18" s="1"/>
  <c r="E115" i="3"/>
  <c r="D542" i="18" s="1"/>
  <c r="E114" i="3"/>
  <c r="D534" i="18" s="1"/>
  <c r="C536" i="18" s="1"/>
  <c r="E113" i="3"/>
  <c r="E112" i="3"/>
  <c r="E111" i="3"/>
  <c r="D519" i="18" s="1"/>
  <c r="C521" i="18" s="1"/>
  <c r="B104" i="3"/>
  <c r="D91" i="3"/>
  <c r="N78" i="3"/>
  <c r="K78" i="3"/>
  <c r="N77" i="3"/>
  <c r="K77" i="3"/>
  <c r="N76" i="3"/>
  <c r="K76" i="3"/>
  <c r="K75" i="3"/>
  <c r="K74" i="3"/>
  <c r="K73" i="3"/>
  <c r="K72" i="3"/>
  <c r="K71" i="3"/>
  <c r="K70" i="3"/>
  <c r="K69" i="3"/>
  <c r="K68" i="3"/>
  <c r="K67" i="3"/>
  <c r="E52" i="23" s="1"/>
  <c r="T53" i="3"/>
  <c r="I81" i="15" s="1"/>
  <c r="O53" i="3"/>
  <c r="B81" i="15" s="1"/>
  <c r="C63" i="3"/>
  <c r="C40" i="15" s="1"/>
  <c r="F40" i="15" s="1"/>
  <c r="F47" i="15" s="1"/>
  <c r="I52" i="3"/>
  <c r="I60" i="3" s="1"/>
  <c r="I45" i="3"/>
  <c r="I49" i="3" s="1"/>
  <c r="G51" i="3"/>
  <c r="G50" i="3"/>
  <c r="G49" i="3"/>
  <c r="G48" i="3"/>
  <c r="G47" i="3"/>
  <c r="G46" i="3"/>
  <c r="C45" i="3"/>
  <c r="B46" i="3" s="1"/>
  <c r="E40" i="3"/>
  <c r="D504" i="18" s="1"/>
  <c r="C506" i="18" s="1"/>
  <c r="H33" i="3"/>
  <c r="E36" i="3"/>
  <c r="D488" i="18" s="1"/>
  <c r="K24" i="3"/>
  <c r="H14" i="3"/>
  <c r="E24" i="3"/>
  <c r="D630" i="18" s="1"/>
  <c r="C632" i="18" s="1"/>
  <c r="I632" i="18" s="1"/>
  <c r="E23" i="3"/>
  <c r="D457" i="18" s="1"/>
  <c r="C459" i="18" s="1"/>
  <c r="I459" i="18" s="1"/>
  <c r="E18" i="3"/>
  <c r="D624" i="18" s="1"/>
  <c r="C626" i="18" s="1"/>
  <c r="E17" i="3"/>
  <c r="F607" i="18" s="1"/>
  <c r="E16" i="3"/>
  <c r="G607" i="18" s="1"/>
  <c r="E15" i="3"/>
  <c r="D434" i="18" s="1"/>
  <c r="C436" i="18" s="1"/>
  <c r="D5" i="3"/>
  <c r="E5" i="3" s="1"/>
  <c r="D4" i="3"/>
  <c r="K130" i="25"/>
  <c r="K106" i="25"/>
  <c r="J83" i="25"/>
  <c r="G74" i="25"/>
  <c r="J71" i="25"/>
  <c r="G62" i="25"/>
  <c r="G57" i="25"/>
  <c r="G36" i="25"/>
  <c r="J29" i="25"/>
  <c r="G28" i="25"/>
  <c r="G29" i="25" s="1"/>
  <c r="G13" i="25"/>
  <c r="H10" i="25"/>
  <c r="G20" i="1"/>
  <c r="F20" i="1"/>
  <c r="F8" i="1"/>
  <c r="E8" i="1"/>
  <c r="C78" i="24"/>
  <c r="B66" i="24"/>
  <c r="F63" i="24"/>
  <c r="C63" i="24"/>
  <c r="G62" i="24"/>
  <c r="I62" i="24" s="1"/>
  <c r="D25" i="24"/>
  <c r="D23" i="24" s="1"/>
  <c r="C18" i="24"/>
  <c r="D86" i="24"/>
  <c r="D82" i="24"/>
  <c r="I10" i="24"/>
  <c r="I9" i="24"/>
  <c r="I153" i="23"/>
  <c r="G143" i="23"/>
  <c r="G142" i="23"/>
  <c r="F141" i="23"/>
  <c r="E141" i="23"/>
  <c r="D141" i="23"/>
  <c r="E140" i="23"/>
  <c r="D140" i="23"/>
  <c r="F139" i="23"/>
  <c r="E139" i="23"/>
  <c r="G139" i="23" s="1"/>
  <c r="F131" i="23"/>
  <c r="E131" i="23"/>
  <c r="F124" i="23"/>
  <c r="E124" i="23"/>
  <c r="D124" i="23"/>
  <c r="E133" i="23" s="1"/>
  <c r="G133" i="23" s="1"/>
  <c r="F120" i="23"/>
  <c r="F134" i="23" s="1"/>
  <c r="F138" i="23" s="1"/>
  <c r="E120" i="23"/>
  <c r="D120" i="23"/>
  <c r="G120" i="23" s="1"/>
  <c r="F118" i="23"/>
  <c r="E118" i="23"/>
  <c r="F135" i="23" s="1"/>
  <c r="D118" i="23"/>
  <c r="E135" i="23" s="1"/>
  <c r="G135" i="23" s="1"/>
  <c r="F116" i="23"/>
  <c r="E116" i="23"/>
  <c r="D116" i="23"/>
  <c r="F115" i="23"/>
  <c r="E115" i="23"/>
  <c r="D115" i="23"/>
  <c r="G115" i="23" s="1"/>
  <c r="L106" i="23"/>
  <c r="F101" i="23"/>
  <c r="F105" i="23" s="1"/>
  <c r="E101" i="23"/>
  <c r="E113" i="23" s="1"/>
  <c r="D101" i="23"/>
  <c r="D105" i="23" s="1"/>
  <c r="C101" i="23"/>
  <c r="C113" i="23" s="1"/>
  <c r="F76" i="23"/>
  <c r="F140" i="23" s="1"/>
  <c r="F75" i="23"/>
  <c r="E75" i="23"/>
  <c r="E98" i="23" s="1"/>
  <c r="D75" i="23"/>
  <c r="D98" i="23" s="1"/>
  <c r="C75" i="23"/>
  <c r="F73" i="23"/>
  <c r="E73" i="23"/>
  <c r="D73" i="23"/>
  <c r="F71" i="23"/>
  <c r="D71" i="23"/>
  <c r="D63" i="23"/>
  <c r="D62" i="23"/>
  <c r="D65" i="23" s="1"/>
  <c r="F58" i="23"/>
  <c r="D48" i="23"/>
  <c r="E48" i="23" s="1"/>
  <c r="E47" i="23"/>
  <c r="D30" i="23"/>
  <c r="C19" i="23"/>
  <c r="H18" i="23"/>
  <c r="H58" i="23" s="1"/>
  <c r="F18" i="23"/>
  <c r="E18" i="23"/>
  <c r="B13" i="23"/>
  <c r="B12" i="23"/>
  <c r="B11" i="23"/>
  <c r="L4" i="23"/>
  <c r="B105" i="23" s="1"/>
  <c r="F113" i="22"/>
  <c r="G113" i="22" s="1"/>
  <c r="E113" i="22"/>
  <c r="I111" i="22"/>
  <c r="I107" i="22"/>
  <c r="I105" i="22"/>
  <c r="G96" i="22"/>
  <c r="G95" i="22"/>
  <c r="F93" i="22"/>
  <c r="F94" i="22" s="1"/>
  <c r="F83" i="22"/>
  <c r="F84" i="22" s="1"/>
  <c r="E83" i="22"/>
  <c r="E88" i="22" s="1"/>
  <c r="E78" i="22"/>
  <c r="D78" i="22"/>
  <c r="D77" i="22"/>
  <c r="F73" i="22"/>
  <c r="F74" i="22" s="1"/>
  <c r="E73" i="22"/>
  <c r="E74" i="22" s="1"/>
  <c r="F70" i="22"/>
  <c r="F71" i="22" s="1"/>
  <c r="E70" i="22"/>
  <c r="E71" i="22" s="1"/>
  <c r="F67" i="22"/>
  <c r="F68" i="22" s="1"/>
  <c r="E67" i="22"/>
  <c r="E68" i="22" s="1"/>
  <c r="F64" i="22"/>
  <c r="F65" i="22" s="1"/>
  <c r="E64" i="22"/>
  <c r="E65" i="22" s="1"/>
  <c r="F60" i="22"/>
  <c r="F61" i="22" s="1"/>
  <c r="E60" i="22"/>
  <c r="E61" i="22" s="1"/>
  <c r="F57" i="22"/>
  <c r="E57" i="22"/>
  <c r="D57" i="22"/>
  <c r="D51" i="22"/>
  <c r="D55" i="22" s="1"/>
  <c r="D17" i="22"/>
  <c r="E77" i="22" s="1"/>
  <c r="E15" i="22"/>
  <c r="F99" i="22" s="1"/>
  <c r="E3" i="22"/>
  <c r="E100" i="22" s="1"/>
  <c r="F215" i="21"/>
  <c r="F216" i="21" s="1"/>
  <c r="F217" i="21" s="1"/>
  <c r="F218" i="21" s="1"/>
  <c r="F219" i="21" s="1"/>
  <c r="F220" i="21" s="1"/>
  <c r="F221" i="21" s="1"/>
  <c r="F222" i="21" s="1"/>
  <c r="G209" i="21"/>
  <c r="C208" i="21"/>
  <c r="G208" i="21" s="1"/>
  <c r="G207" i="21"/>
  <c r="F204" i="21"/>
  <c r="D204" i="21"/>
  <c r="C204" i="21"/>
  <c r="G204" i="21" s="1"/>
  <c r="C203" i="21"/>
  <c r="F202" i="21"/>
  <c r="D202" i="21"/>
  <c r="C202" i="21"/>
  <c r="G202" i="21" s="1"/>
  <c r="E201" i="21"/>
  <c r="D201" i="21"/>
  <c r="C201" i="21"/>
  <c r="G201" i="21" s="1"/>
  <c r="E200" i="21"/>
  <c r="D200" i="21"/>
  <c r="C200" i="21"/>
  <c r="C194" i="21"/>
  <c r="E193" i="21"/>
  <c r="D193" i="21"/>
  <c r="C193" i="21"/>
  <c r="C189" i="21"/>
  <c r="F187" i="21"/>
  <c r="F188" i="21" s="1"/>
  <c r="G188" i="21" s="1"/>
  <c r="E187" i="21"/>
  <c r="E203" i="21" s="1"/>
  <c r="D187" i="21"/>
  <c r="D203" i="21" s="1"/>
  <c r="C187" i="21"/>
  <c r="E182" i="21"/>
  <c r="C182" i="21"/>
  <c r="F181" i="21"/>
  <c r="F182" i="21" s="1"/>
  <c r="E181" i="21"/>
  <c r="D181" i="21"/>
  <c r="D182" i="21" s="1"/>
  <c r="C181" i="21"/>
  <c r="F176" i="21"/>
  <c r="E176" i="21"/>
  <c r="D176" i="21"/>
  <c r="C176" i="21"/>
  <c r="F171" i="21"/>
  <c r="E171" i="21"/>
  <c r="F1204" i="18" s="1"/>
  <c r="C1206" i="18" s="1"/>
  <c r="I1206" i="18" s="1"/>
  <c r="D171" i="21"/>
  <c r="C171" i="21"/>
  <c r="F166" i="21"/>
  <c r="E166" i="21"/>
  <c r="D166" i="21"/>
  <c r="C166" i="21"/>
  <c r="F161" i="21"/>
  <c r="F1174" i="18" s="1"/>
  <c r="C1176" i="18" s="1"/>
  <c r="E161" i="21"/>
  <c r="E194" i="21" s="1"/>
  <c r="D161" i="21"/>
  <c r="D194" i="21" s="1"/>
  <c r="G194" i="21" s="1"/>
  <c r="C161" i="21"/>
  <c r="C156" i="21"/>
  <c r="C155" i="21"/>
  <c r="C154" i="21"/>
  <c r="C153" i="21"/>
  <c r="C152" i="21"/>
  <c r="C151" i="21"/>
  <c r="C150" i="21"/>
  <c r="C149" i="21"/>
  <c r="C148" i="21"/>
  <c r="C147" i="21"/>
  <c r="C146" i="21"/>
  <c r="C145" i="21"/>
  <c r="C144" i="21"/>
  <c r="C143" i="21"/>
  <c r="C142" i="21"/>
  <c r="C141" i="21"/>
  <c r="C140" i="21"/>
  <c r="C139" i="21"/>
  <c r="C138" i="21"/>
  <c r="C137" i="21"/>
  <c r="C136" i="21"/>
  <c r="C135" i="21"/>
  <c r="C134" i="21"/>
  <c r="C133" i="21"/>
  <c r="C132" i="21"/>
  <c r="C131" i="21"/>
  <c r="C130" i="21"/>
  <c r="E127" i="21"/>
  <c r="E128" i="21" s="1"/>
  <c r="G128" i="21" s="1"/>
  <c r="D127" i="21"/>
  <c r="D131" i="21" s="1"/>
  <c r="C127" i="21"/>
  <c r="G127" i="21" s="1"/>
  <c r="G129" i="21" s="1"/>
  <c r="D121" i="21"/>
  <c r="G121" i="21" s="1"/>
  <c r="F116" i="21"/>
  <c r="E116" i="21"/>
  <c r="D1109" i="18" s="1"/>
  <c r="C1111" i="18" s="1"/>
  <c r="I1111" i="18" s="1"/>
  <c r="D116" i="21"/>
  <c r="C116" i="21"/>
  <c r="G116" i="21" s="1"/>
  <c r="F110" i="21"/>
  <c r="D110" i="21"/>
  <c r="E110" i="21" s="1"/>
  <c r="C110" i="21"/>
  <c r="G110" i="21" s="1"/>
  <c r="C104" i="21"/>
  <c r="C99" i="21"/>
  <c r="C96" i="21"/>
  <c r="D95" i="21"/>
  <c r="D99" i="21" s="1"/>
  <c r="C95" i="21"/>
  <c r="D79" i="21"/>
  <c r="E79" i="21" s="1"/>
  <c r="D78" i="21"/>
  <c r="E78" i="21" s="1"/>
  <c r="D61" i="21"/>
  <c r="I53" i="21"/>
  <c r="I52" i="21"/>
  <c r="E49" i="21"/>
  <c r="D89" i="21" s="1"/>
  <c r="F17" i="21"/>
  <c r="L13" i="21"/>
  <c r="B4" i="21"/>
  <c r="D70" i="21" s="1"/>
  <c r="B3" i="21"/>
  <c r="C70" i="21" s="1"/>
  <c r="B2" i="21"/>
  <c r="H89" i="21" s="1"/>
  <c r="O23" i="20"/>
  <c r="K17" i="20"/>
  <c r="I319" i="18" s="1"/>
  <c r="K16" i="20"/>
  <c r="F319" i="18" s="1"/>
  <c r="H319" i="18" s="1"/>
  <c r="K15" i="20"/>
  <c r="G2050" i="18" s="1"/>
  <c r="I2050" i="18" s="1"/>
  <c r="P10" i="20"/>
  <c r="R10" i="20" s="1"/>
  <c r="O10" i="20"/>
  <c r="R9" i="20"/>
  <c r="P9" i="20"/>
  <c r="D32" i="19"/>
  <c r="D31" i="19"/>
  <c r="E25" i="19"/>
  <c r="H2179" i="18"/>
  <c r="H2180" i="18" s="1"/>
  <c r="H2174" i="18"/>
  <c r="H2175" i="18" s="1"/>
  <c r="G2166" i="18"/>
  <c r="F2157" i="18" s="1"/>
  <c r="G2157" i="18" s="1"/>
  <c r="G2158" i="18" s="1"/>
  <c r="F2164" i="18"/>
  <c r="E2164" i="18"/>
  <c r="I2162" i="18"/>
  <c r="I2138" i="18"/>
  <c r="F2119" i="18"/>
  <c r="G2118" i="18"/>
  <c r="F2116" i="18"/>
  <c r="E2116" i="18"/>
  <c r="F2109" i="18"/>
  <c r="I2099" i="18"/>
  <c r="I2098" i="18"/>
  <c r="I2092" i="18"/>
  <c r="I2093" i="18" s="1"/>
  <c r="I2113" i="18" s="1"/>
  <c r="G2073" i="18"/>
  <c r="F2072" i="18"/>
  <c r="E2072" i="18"/>
  <c r="I2070" i="18"/>
  <c r="G2059" i="18"/>
  <c r="G2058" i="18"/>
  <c r="E2058" i="18"/>
  <c r="I2057" i="18"/>
  <c r="I2056" i="18"/>
  <c r="I2055" i="18"/>
  <c r="I2054" i="18"/>
  <c r="I2053" i="18"/>
  <c r="I2052" i="18"/>
  <c r="I2051" i="18"/>
  <c r="F2043" i="18"/>
  <c r="G2042" i="18"/>
  <c r="F2033" i="18" s="1"/>
  <c r="F2040" i="18"/>
  <c r="E2040" i="18"/>
  <c r="F1987" i="18"/>
  <c r="G1986" i="18"/>
  <c r="F1977" i="18" s="1"/>
  <c r="F1984" i="18"/>
  <c r="E1984" i="18"/>
  <c r="H1974" i="18"/>
  <c r="I1974" i="18" s="1"/>
  <c r="G1925" i="18"/>
  <c r="F1916" i="18" s="1"/>
  <c r="F1923" i="18"/>
  <c r="E1923" i="18"/>
  <c r="H1912" i="18"/>
  <c r="H1972" i="18" s="1"/>
  <c r="I1972" i="18" s="1"/>
  <c r="I1906" i="18"/>
  <c r="I1905" i="18"/>
  <c r="F1877" i="18"/>
  <c r="G1876" i="18"/>
  <c r="F1867" i="18" s="1"/>
  <c r="F1874" i="18"/>
  <c r="E1874" i="18"/>
  <c r="I1863" i="18"/>
  <c r="I1856" i="18"/>
  <c r="I1855" i="18"/>
  <c r="I1849" i="18"/>
  <c r="I1848" i="18"/>
  <c r="G1810" i="18"/>
  <c r="F1801" i="18" s="1"/>
  <c r="F1808" i="18"/>
  <c r="E1808" i="18"/>
  <c r="H1864" i="18"/>
  <c r="H1913" i="18" s="1"/>
  <c r="I1913" i="18" s="1"/>
  <c r="I1792" i="18"/>
  <c r="I1791" i="18"/>
  <c r="I1784" i="18"/>
  <c r="G1783" i="18"/>
  <c r="F1767" i="18"/>
  <c r="G1766" i="18"/>
  <c r="F1757" i="18" s="1"/>
  <c r="F1764" i="18"/>
  <c r="E1764" i="18"/>
  <c r="I1752" i="18"/>
  <c r="I1751" i="18"/>
  <c r="I1745" i="18"/>
  <c r="I1744" i="18"/>
  <c r="I1737" i="18"/>
  <c r="G1717" i="18"/>
  <c r="F1708" i="18" s="1"/>
  <c r="F1715" i="18"/>
  <c r="E1715" i="18"/>
  <c r="H1702" i="18"/>
  <c r="H1701" i="18"/>
  <c r="G1701" i="18"/>
  <c r="H1700" i="18"/>
  <c r="H1969" i="18" s="1"/>
  <c r="G1700" i="18"/>
  <c r="H1699" i="18"/>
  <c r="G1698" i="18"/>
  <c r="H1697" i="18"/>
  <c r="I1691" i="18"/>
  <c r="G1689" i="18"/>
  <c r="G1702" i="18" s="1"/>
  <c r="I1702" i="18" s="1"/>
  <c r="I1688" i="18"/>
  <c r="I1687" i="18"/>
  <c r="H1963" i="18"/>
  <c r="H2020" i="18" s="1"/>
  <c r="I2020" i="18" s="1"/>
  <c r="H1962" i="18"/>
  <c r="H2019" i="18" s="1"/>
  <c r="I2019" i="18" s="1"/>
  <c r="I1682" i="18"/>
  <c r="I1681" i="18"/>
  <c r="G1627" i="18"/>
  <c r="F1624" i="18"/>
  <c r="I1624" i="18" s="1"/>
  <c r="D1624" i="18"/>
  <c r="F1622" i="18"/>
  <c r="I1622" i="18" s="1"/>
  <c r="D1622" i="18"/>
  <c r="G1597" i="18"/>
  <c r="F1588" i="18" s="1"/>
  <c r="F1595" i="18"/>
  <c r="E1595" i="18"/>
  <c r="I1592" i="18"/>
  <c r="H1583" i="18"/>
  <c r="H1698" i="18" s="1"/>
  <c r="I1577" i="18"/>
  <c r="I1576" i="18"/>
  <c r="G1544" i="18"/>
  <c r="F1535" i="18" s="1"/>
  <c r="F1542" i="18"/>
  <c r="E1542" i="18"/>
  <c r="I1530" i="18"/>
  <c r="I1529" i="18"/>
  <c r="I1528" i="18"/>
  <c r="I1527" i="18"/>
  <c r="I1521" i="18"/>
  <c r="I1520" i="18"/>
  <c r="I1519" i="18"/>
  <c r="I1518" i="18"/>
  <c r="I1517" i="18"/>
  <c r="I1516" i="18"/>
  <c r="I1515" i="18"/>
  <c r="I1514" i="18"/>
  <c r="I1513" i="18"/>
  <c r="I1507" i="18"/>
  <c r="I1508" i="18" s="1"/>
  <c r="I1539" i="18" s="1"/>
  <c r="F1459" i="18"/>
  <c r="G1458" i="18"/>
  <c r="F1456" i="18"/>
  <c r="E1456" i="18"/>
  <c r="I1453" i="18"/>
  <c r="F1449" i="18"/>
  <c r="I1446" i="18"/>
  <c r="I1445" i="18"/>
  <c r="I1444" i="18"/>
  <c r="I1443" i="18"/>
  <c r="I1437" i="18"/>
  <c r="I1436" i="18"/>
  <c r="I1435" i="18"/>
  <c r="I1434" i="18"/>
  <c r="H1412" i="18"/>
  <c r="J1392" i="18"/>
  <c r="F1378" i="18"/>
  <c r="F1377" i="18"/>
  <c r="E1377" i="18"/>
  <c r="D1374" i="18"/>
  <c r="G1359" i="18"/>
  <c r="F1359" i="18"/>
  <c r="F1358" i="18"/>
  <c r="E1358" i="18"/>
  <c r="F1339" i="18"/>
  <c r="F1338" i="18"/>
  <c r="E1338" i="18"/>
  <c r="I1336" i="18"/>
  <c r="G1319" i="18"/>
  <c r="F1318" i="18"/>
  <c r="E1318" i="18"/>
  <c r="G1279" i="18"/>
  <c r="E1279" i="18"/>
  <c r="E1319" i="18" s="1"/>
  <c r="E1339" i="18" s="1"/>
  <c r="E1359" i="18" s="1"/>
  <c r="F1278" i="18"/>
  <c r="E1278" i="18"/>
  <c r="C1276" i="18"/>
  <c r="I1276" i="18" s="1"/>
  <c r="G1260" i="18"/>
  <c r="F1259" i="18"/>
  <c r="E1259" i="18"/>
  <c r="I1257" i="18"/>
  <c r="C1256" i="18"/>
  <c r="G1250" i="18"/>
  <c r="F1249" i="18"/>
  <c r="E1249" i="18"/>
  <c r="G1240" i="18"/>
  <c r="F1239" i="18"/>
  <c r="E1239" i="18"/>
  <c r="F1256" i="18"/>
  <c r="F1374" i="18" s="1"/>
  <c r="G1230" i="18"/>
  <c r="F1229" i="18"/>
  <c r="E1229" i="18"/>
  <c r="G1220" i="18"/>
  <c r="F1219" i="18"/>
  <c r="E1219" i="18"/>
  <c r="G1210" i="18"/>
  <c r="F1209" i="18"/>
  <c r="E1209" i="18"/>
  <c r="G1200" i="18"/>
  <c r="F1199" i="18"/>
  <c r="E1199" i="18"/>
  <c r="G1190" i="18"/>
  <c r="F1189" i="18"/>
  <c r="E1189" i="18"/>
  <c r="C1186" i="18"/>
  <c r="G1180" i="18"/>
  <c r="F1179" i="18"/>
  <c r="E1179" i="18"/>
  <c r="F1143" i="18"/>
  <c r="F1142" i="18"/>
  <c r="E1142" i="18"/>
  <c r="G1133" i="18"/>
  <c r="F1132" i="18"/>
  <c r="E1132" i="18"/>
  <c r="I1130" i="18"/>
  <c r="F1123" i="18"/>
  <c r="F1122" i="18"/>
  <c r="E1122" i="18"/>
  <c r="I1119" i="18"/>
  <c r="F1115" i="18"/>
  <c r="F1114" i="18"/>
  <c r="E1114" i="18"/>
  <c r="G1104" i="18"/>
  <c r="F1103" i="18"/>
  <c r="E1103" i="18"/>
  <c r="C1100" i="18"/>
  <c r="G1094" i="18"/>
  <c r="F1093" i="18"/>
  <c r="E1093" i="18"/>
  <c r="C1090" i="18"/>
  <c r="G1085" i="18"/>
  <c r="F1084" i="18"/>
  <c r="E1084" i="18"/>
  <c r="G1076" i="18"/>
  <c r="F1075" i="18"/>
  <c r="E1075" i="18"/>
  <c r="G1066" i="18"/>
  <c r="F1065" i="18"/>
  <c r="E1065" i="18"/>
  <c r="F1048" i="18"/>
  <c r="F1047" i="18"/>
  <c r="E1047" i="18"/>
  <c r="F1015" i="18"/>
  <c r="E1015" i="18"/>
  <c r="E1048" i="18" s="1"/>
  <c r="E1066" i="18" s="1"/>
  <c r="F1014" i="18"/>
  <c r="E1014" i="18"/>
  <c r="G1004" i="18"/>
  <c r="F1003" i="18"/>
  <c r="E1003" i="18"/>
  <c r="C1001" i="18"/>
  <c r="I1001" i="18" s="1"/>
  <c r="G994" i="18"/>
  <c r="F993" i="18"/>
  <c r="E993" i="18"/>
  <c r="H992" i="18"/>
  <c r="G992" i="18"/>
  <c r="F992" i="18"/>
  <c r="I992" i="18" s="1"/>
  <c r="F985" i="18"/>
  <c r="F984" i="18"/>
  <c r="E984" i="18"/>
  <c r="I983" i="18"/>
  <c r="F976" i="18"/>
  <c r="F975" i="18"/>
  <c r="E975" i="18"/>
  <c r="I974" i="18"/>
  <c r="F966" i="18"/>
  <c r="F965" i="18"/>
  <c r="E965" i="18"/>
  <c r="F956" i="18"/>
  <c r="F955" i="18"/>
  <c r="E955" i="18"/>
  <c r="E805" i="18"/>
  <c r="E835" i="18" s="1"/>
  <c r="E865" i="18" s="1"/>
  <c r="E895" i="18" s="1"/>
  <c r="E925" i="18" s="1"/>
  <c r="F775" i="18"/>
  <c r="F805" i="18" s="1"/>
  <c r="F835" i="18" s="1"/>
  <c r="F865" i="18" s="1"/>
  <c r="F895" i="18" s="1"/>
  <c r="F925" i="18" s="1"/>
  <c r="F774" i="18"/>
  <c r="E774" i="18"/>
  <c r="E804" i="18" s="1"/>
  <c r="E834" i="18" s="1"/>
  <c r="E864" i="18" s="1"/>
  <c r="E894" i="18" s="1"/>
  <c r="E924" i="18" s="1"/>
  <c r="F743" i="18"/>
  <c r="F742" i="18"/>
  <c r="E742" i="18"/>
  <c r="G735" i="18"/>
  <c r="F734" i="18"/>
  <c r="E734" i="18"/>
  <c r="I733" i="18"/>
  <c r="G723" i="18"/>
  <c r="F722" i="18"/>
  <c r="E722" i="18"/>
  <c r="G714" i="18"/>
  <c r="F713" i="18"/>
  <c r="E713" i="18"/>
  <c r="I712" i="18"/>
  <c r="G706" i="18"/>
  <c r="F705" i="18"/>
  <c r="E705" i="18"/>
  <c r="G697" i="18"/>
  <c r="F696" i="18"/>
  <c r="E696" i="18"/>
  <c r="G689" i="18"/>
  <c r="F688" i="18"/>
  <c r="E688" i="18"/>
  <c r="I687" i="18"/>
  <c r="I686" i="18"/>
  <c r="I685" i="18"/>
  <c r="G678" i="18"/>
  <c r="F677" i="18"/>
  <c r="E677" i="18"/>
  <c r="I675" i="18"/>
  <c r="G668" i="18"/>
  <c r="F667" i="18"/>
  <c r="E667" i="18"/>
  <c r="I666" i="18"/>
  <c r="I665" i="18"/>
  <c r="G659" i="18"/>
  <c r="F658" i="18"/>
  <c r="E658" i="18"/>
  <c r="I656" i="18"/>
  <c r="G650" i="18"/>
  <c r="F649" i="18"/>
  <c r="E649" i="18"/>
  <c r="G642" i="18"/>
  <c r="F641" i="18"/>
  <c r="E641" i="18"/>
  <c r="G634" i="18"/>
  <c r="F633" i="18"/>
  <c r="E633" i="18"/>
  <c r="G628" i="18"/>
  <c r="F627" i="18"/>
  <c r="E627" i="18"/>
  <c r="F619" i="18"/>
  <c r="F618" i="18"/>
  <c r="E618" i="18"/>
  <c r="I617" i="18"/>
  <c r="G611" i="18"/>
  <c r="F610" i="18"/>
  <c r="E610" i="18"/>
  <c r="F991" i="18"/>
  <c r="I991" i="18" s="1"/>
  <c r="G603" i="18"/>
  <c r="F602" i="18"/>
  <c r="E602" i="18"/>
  <c r="I601" i="18"/>
  <c r="G594" i="18"/>
  <c r="F593" i="18"/>
  <c r="E593" i="18"/>
  <c r="G586" i="18"/>
  <c r="F585" i="18"/>
  <c r="E585" i="18"/>
  <c r="G579" i="18"/>
  <c r="F578" i="18"/>
  <c r="E578" i="18"/>
  <c r="I577" i="18"/>
  <c r="G571" i="18"/>
  <c r="F570" i="18"/>
  <c r="E570" i="18"/>
  <c r="G563" i="18"/>
  <c r="F562" i="18"/>
  <c r="E562" i="18"/>
  <c r="I561" i="18"/>
  <c r="G554" i="18"/>
  <c r="F553" i="18"/>
  <c r="E553" i="18"/>
  <c r="I552" i="18"/>
  <c r="G546" i="18"/>
  <c r="F545" i="18"/>
  <c r="E545" i="18"/>
  <c r="G538" i="18"/>
  <c r="F537" i="18"/>
  <c r="E537" i="18"/>
  <c r="G531" i="18"/>
  <c r="F530" i="18"/>
  <c r="E530" i="18"/>
  <c r="I529" i="18"/>
  <c r="G523" i="18"/>
  <c r="F522" i="18"/>
  <c r="E522" i="18"/>
  <c r="G516" i="18"/>
  <c r="F515" i="18"/>
  <c r="E515" i="18"/>
  <c r="G508" i="18"/>
  <c r="F507" i="18"/>
  <c r="E507" i="18"/>
  <c r="G500" i="18"/>
  <c r="F499" i="18"/>
  <c r="E499" i="18"/>
  <c r="G492" i="18"/>
  <c r="F491" i="18"/>
  <c r="E491" i="18"/>
  <c r="I490" i="18"/>
  <c r="G484" i="18"/>
  <c r="F483" i="18"/>
  <c r="E483" i="18"/>
  <c r="G476" i="18"/>
  <c r="F475" i="18"/>
  <c r="E475" i="18"/>
  <c r="C474" i="18"/>
  <c r="C473" i="18"/>
  <c r="G469" i="18"/>
  <c r="F468" i="18"/>
  <c r="E468" i="18"/>
  <c r="G461" i="18"/>
  <c r="F460" i="18"/>
  <c r="E460" i="18"/>
  <c r="G453" i="18"/>
  <c r="F452" i="18"/>
  <c r="E452" i="18"/>
  <c r="I451" i="18"/>
  <c r="G445" i="18"/>
  <c r="F444" i="18"/>
  <c r="E444" i="18"/>
  <c r="I443" i="18"/>
  <c r="G438" i="18"/>
  <c r="F437" i="18"/>
  <c r="E437" i="18"/>
  <c r="G429" i="18"/>
  <c r="F428" i="18"/>
  <c r="E428" i="18"/>
  <c r="G421" i="18"/>
  <c r="F420" i="18"/>
  <c r="E420" i="18"/>
  <c r="I419" i="18"/>
  <c r="G413" i="18"/>
  <c r="F412" i="18"/>
  <c r="E412" i="18"/>
  <c r="I410" i="18"/>
  <c r="I407" i="18"/>
  <c r="G401" i="18"/>
  <c r="F400" i="18"/>
  <c r="E400" i="18"/>
  <c r="I399" i="18"/>
  <c r="I398" i="18"/>
  <c r="E398" i="18"/>
  <c r="E410" i="18" s="1"/>
  <c r="F408" i="18"/>
  <c r="I408" i="18" s="1"/>
  <c r="G388" i="18"/>
  <c r="F387" i="18"/>
  <c r="E387" i="18"/>
  <c r="I386" i="18"/>
  <c r="I385" i="18"/>
  <c r="I384" i="18"/>
  <c r="I383" i="18"/>
  <c r="I382" i="18"/>
  <c r="I381" i="18"/>
  <c r="H1971" i="18"/>
  <c r="G370" i="18"/>
  <c r="F369" i="18"/>
  <c r="E369" i="18"/>
  <c r="I366" i="18"/>
  <c r="I364" i="18"/>
  <c r="G358" i="18"/>
  <c r="F357" i="18"/>
  <c r="E357" i="18"/>
  <c r="I356" i="18"/>
  <c r="G349" i="18"/>
  <c r="F348" i="18"/>
  <c r="E348" i="18"/>
  <c r="I347" i="18"/>
  <c r="G340" i="18"/>
  <c r="F339" i="18"/>
  <c r="E339" i="18"/>
  <c r="I338" i="18"/>
  <c r="G332" i="18"/>
  <c r="G331" i="18"/>
  <c r="E331" i="18"/>
  <c r="I330" i="18"/>
  <c r="G325" i="18"/>
  <c r="F324" i="18"/>
  <c r="E324" i="18"/>
  <c r="H323" i="18"/>
  <c r="I323" i="18" s="1"/>
  <c r="H322" i="18"/>
  <c r="H320" i="18"/>
  <c r="G314" i="18"/>
  <c r="G313" i="18"/>
  <c r="E313" i="18"/>
  <c r="I311" i="18"/>
  <c r="G298" i="18"/>
  <c r="G297" i="18"/>
  <c r="E297" i="18"/>
  <c r="I295" i="18"/>
  <c r="I294" i="18"/>
  <c r="I292" i="18"/>
  <c r="I293" i="18" s="1"/>
  <c r="G287" i="18"/>
  <c r="G286" i="18"/>
  <c r="E286" i="18"/>
  <c r="I283" i="18"/>
  <c r="G276" i="18"/>
  <c r="E276" i="18"/>
  <c r="I273" i="18"/>
  <c r="G268" i="18"/>
  <c r="G267" i="18"/>
  <c r="I267" i="18" s="1"/>
  <c r="E267" i="18"/>
  <c r="G259" i="18"/>
  <c r="G258" i="18"/>
  <c r="E258" i="18"/>
  <c r="I257" i="18"/>
  <c r="I256" i="18"/>
  <c r="F337" i="18"/>
  <c r="I337" i="18" s="1"/>
  <c r="G240" i="18"/>
  <c r="G239" i="18"/>
  <c r="E239" i="18"/>
  <c r="F232" i="18"/>
  <c r="F231" i="18"/>
  <c r="E231" i="18"/>
  <c r="H230" i="18"/>
  <c r="H228" i="18"/>
  <c r="F222" i="18"/>
  <c r="F221" i="18"/>
  <c r="E221" i="18"/>
  <c r="H220" i="18"/>
  <c r="H219" i="18"/>
  <c r="G213" i="18"/>
  <c r="G212" i="18"/>
  <c r="E212" i="18"/>
  <c r="I209" i="18"/>
  <c r="G203" i="18"/>
  <c r="E203" i="18"/>
  <c r="G195" i="18"/>
  <c r="E195" i="18"/>
  <c r="G187" i="18"/>
  <c r="E187" i="18"/>
  <c r="G179" i="18"/>
  <c r="E179" i="18"/>
  <c r="G170" i="18"/>
  <c r="G169" i="18"/>
  <c r="G168" i="18"/>
  <c r="G167" i="18"/>
  <c r="G166" i="18"/>
  <c r="G165" i="18"/>
  <c r="G164" i="18"/>
  <c r="G163" i="18"/>
  <c r="G162" i="18"/>
  <c r="G161" i="18"/>
  <c r="G160" i="18"/>
  <c r="G156" i="18"/>
  <c r="F155" i="18"/>
  <c r="E155" i="18"/>
  <c r="I154" i="18"/>
  <c r="C153" i="18"/>
  <c r="G146" i="18"/>
  <c r="F145" i="18"/>
  <c r="E145" i="18"/>
  <c r="I144" i="18"/>
  <c r="G138" i="18"/>
  <c r="G137" i="18"/>
  <c r="E137" i="18"/>
  <c r="I136" i="18"/>
  <c r="I135" i="18"/>
  <c r="G125" i="18"/>
  <c r="G124" i="18"/>
  <c r="E124" i="18"/>
  <c r="I123" i="18"/>
  <c r="I121" i="18"/>
  <c r="G134" i="18"/>
  <c r="I134" i="18" s="1"/>
  <c r="I120" i="18"/>
  <c r="I119" i="18"/>
  <c r="G132" i="18"/>
  <c r="I132" i="18" s="1"/>
  <c r="E117" i="18"/>
  <c r="E130" i="18" s="1"/>
  <c r="G112" i="18"/>
  <c r="G111" i="18"/>
  <c r="E111" i="18"/>
  <c r="I110" i="18"/>
  <c r="I109" i="18"/>
  <c r="I108" i="18"/>
  <c r="I107" i="18"/>
  <c r="I106" i="18"/>
  <c r="I105" i="18"/>
  <c r="I104" i="18"/>
  <c r="G95" i="18"/>
  <c r="G94" i="18"/>
  <c r="E94" i="18"/>
  <c r="I92" i="18"/>
  <c r="I90" i="18"/>
  <c r="G83" i="18"/>
  <c r="G82" i="18"/>
  <c r="E82" i="18"/>
  <c r="I80" i="18"/>
  <c r="I79" i="18"/>
  <c r="E78" i="18"/>
  <c r="E89" i="18" s="1"/>
  <c r="G71" i="18"/>
  <c r="G70" i="18"/>
  <c r="E70" i="18"/>
  <c r="I69" i="18"/>
  <c r="I68" i="18"/>
  <c r="G58" i="18"/>
  <c r="G57" i="18"/>
  <c r="E57" i="18"/>
  <c r="I55" i="18"/>
  <c r="I53" i="18"/>
  <c r="E52" i="18"/>
  <c r="G43" i="18"/>
  <c r="G42" i="18"/>
  <c r="E42" i="18"/>
  <c r="I39" i="18"/>
  <c r="I37" i="18"/>
  <c r="G29" i="18"/>
  <c r="G28" i="18"/>
  <c r="I28" i="18" s="1"/>
  <c r="E28" i="18"/>
  <c r="G22" i="18"/>
  <c r="F21" i="18"/>
  <c r="I21" i="18" s="1"/>
  <c r="E21" i="18"/>
  <c r="G17" i="18"/>
  <c r="F16" i="18"/>
  <c r="E16" i="18"/>
  <c r="I15" i="18"/>
  <c r="G11" i="18"/>
  <c r="G10" i="18"/>
  <c r="E10" i="18"/>
  <c r="P4" i="18"/>
  <c r="H93" i="17"/>
  <c r="H94" i="17" s="1"/>
  <c r="H95" i="17" s="1"/>
  <c r="H96" i="17" s="1"/>
  <c r="H97" i="17" s="1"/>
  <c r="H98" i="17" s="1"/>
  <c r="H99" i="17" s="1"/>
  <c r="H100" i="17" s="1"/>
  <c r="H101" i="17" s="1"/>
  <c r="H102" i="17" s="1"/>
  <c r="H103" i="17" s="1"/>
  <c r="H104" i="17" s="1"/>
  <c r="H105" i="17" s="1"/>
  <c r="H106" i="17" s="1"/>
  <c r="H107" i="17" s="1"/>
  <c r="B89" i="17"/>
  <c r="B90" i="17" s="1"/>
  <c r="B91" i="17" s="1"/>
  <c r="B92" i="17" s="1"/>
  <c r="B93" i="17" s="1"/>
  <c r="B94" i="17" s="1"/>
  <c r="B95" i="17" s="1"/>
  <c r="B96" i="17" s="1"/>
  <c r="B97" i="17" s="1"/>
  <c r="B98" i="17" s="1"/>
  <c r="B99" i="17" s="1"/>
  <c r="B100" i="17" s="1"/>
  <c r="B101" i="17" s="1"/>
  <c r="B102" i="17" s="1"/>
  <c r="B103" i="17" s="1"/>
  <c r="B104" i="17" s="1"/>
  <c r="B105" i="17" s="1"/>
  <c r="B106" i="17" s="1"/>
  <c r="B107" i="17" s="1"/>
  <c r="B108" i="17" s="1"/>
  <c r="B109" i="17" s="1"/>
  <c r="B110" i="17" s="1"/>
  <c r="B111" i="17" s="1"/>
  <c r="B112" i="17" s="1"/>
  <c r="B113" i="17" s="1"/>
  <c r="B114" i="17" s="1"/>
  <c r="B115" i="17" s="1"/>
  <c r="B116" i="17" s="1"/>
  <c r="B117" i="17" s="1"/>
  <c r="B118" i="17" s="1"/>
  <c r="B119" i="17" s="1"/>
  <c r="B120" i="17" s="1"/>
  <c r="B121" i="17" s="1"/>
  <c r="B122" i="17" s="1"/>
  <c r="B123" i="17" s="1"/>
  <c r="B124" i="17" s="1"/>
  <c r="B125" i="17" s="1"/>
  <c r="B126" i="17" s="1"/>
  <c r="B127" i="17" s="1"/>
  <c r="B128" i="17" s="1"/>
  <c r="B129" i="17" s="1"/>
  <c r="B130" i="17" s="1"/>
  <c r="B131" i="17" s="1"/>
  <c r="B132" i="17" s="1"/>
  <c r="B133" i="17" s="1"/>
  <c r="B134" i="17" s="1"/>
  <c r="B135" i="17" s="1"/>
  <c r="B136" i="17" s="1"/>
  <c r="B137" i="17" s="1"/>
  <c r="B138" i="17" s="1"/>
  <c r="B139" i="17" s="1"/>
  <c r="B140" i="17" s="1"/>
  <c r="B141" i="17" s="1"/>
  <c r="B142" i="17" s="1"/>
  <c r="B143" i="17" s="1"/>
  <c r="B144" i="17" s="1"/>
  <c r="B145" i="17" s="1"/>
  <c r="B146" i="17" s="1"/>
  <c r="B147" i="17" s="1"/>
  <c r="B148" i="17" s="1"/>
  <c r="B149" i="17" s="1"/>
  <c r="B150" i="17" s="1"/>
  <c r="B151" i="17" s="1"/>
  <c r="B152" i="17" s="1"/>
  <c r="B153" i="17" s="1"/>
  <c r="B154" i="17" s="1"/>
  <c r="B155" i="17" s="1"/>
  <c r="B156" i="17" s="1"/>
  <c r="B157" i="17" s="1"/>
  <c r="B158" i="17" s="1"/>
  <c r="B159" i="17" s="1"/>
  <c r="B160" i="17" s="1"/>
  <c r="B161" i="17" s="1"/>
  <c r="B162" i="17" s="1"/>
  <c r="B163" i="17" s="1"/>
  <c r="B164" i="17" s="1"/>
  <c r="B165" i="17" s="1"/>
  <c r="B166" i="17" s="1"/>
  <c r="B167" i="17" s="1"/>
  <c r="B168" i="17" s="1"/>
  <c r="B169" i="17" s="1"/>
  <c r="B170" i="17" s="1"/>
  <c r="B171" i="17" s="1"/>
  <c r="B172" i="17" s="1"/>
  <c r="B173" i="17" s="1"/>
  <c r="B174" i="17" s="1"/>
  <c r="B175" i="17" s="1"/>
  <c r="B176" i="17" s="1"/>
  <c r="B177" i="17" s="1"/>
  <c r="B178" i="17" s="1"/>
  <c r="B179" i="17" s="1"/>
  <c r="B180" i="17" s="1"/>
  <c r="B181" i="17" s="1"/>
  <c r="B182" i="17" s="1"/>
  <c r="B183" i="17" s="1"/>
  <c r="B184" i="17" s="1"/>
  <c r="B185" i="17" s="1"/>
  <c r="B186" i="17" s="1"/>
  <c r="B187" i="17" s="1"/>
  <c r="B188" i="17" s="1"/>
  <c r="B189" i="17" s="1"/>
  <c r="B190" i="17" s="1"/>
  <c r="B191" i="17" s="1"/>
  <c r="B192" i="17" s="1"/>
  <c r="B193" i="17" s="1"/>
  <c r="B194" i="17" s="1"/>
  <c r="B195" i="17" s="1"/>
  <c r="B196" i="17" s="1"/>
  <c r="B197" i="17" s="1"/>
  <c r="B198" i="17" s="1"/>
  <c r="B199" i="17" s="1"/>
  <c r="B200" i="17" s="1"/>
  <c r="B201" i="17" s="1"/>
  <c r="B202" i="17" s="1"/>
  <c r="B203" i="17" s="1"/>
  <c r="B204" i="17" s="1"/>
  <c r="B205" i="17" s="1"/>
  <c r="H86" i="17"/>
  <c r="H85" i="17"/>
  <c r="H87" i="17" s="1"/>
  <c r="H88" i="17" s="1"/>
  <c r="E84" i="17"/>
  <c r="D84" i="17"/>
  <c r="C84" i="17"/>
  <c r="R70" i="17"/>
  <c r="P70" i="17"/>
  <c r="Q71" i="17" s="1"/>
  <c r="R71" i="17" s="1"/>
  <c r="P69" i="17"/>
  <c r="Q69" i="17" s="1"/>
  <c r="R69" i="17" s="1"/>
  <c r="Q68" i="17"/>
  <c r="R68" i="17" s="1"/>
  <c r="H36" i="17"/>
  <c r="G35" i="17"/>
  <c r="E65" i="16"/>
  <c r="I87" i="15"/>
  <c r="C69" i="15"/>
  <c r="B58" i="15"/>
  <c r="F55" i="15"/>
  <c r="C55" i="15"/>
  <c r="G54" i="15"/>
  <c r="I54" i="15" s="1"/>
  <c r="D25" i="15"/>
  <c r="D23" i="15" s="1"/>
  <c r="C18" i="15"/>
  <c r="D78" i="15"/>
  <c r="D74" i="15"/>
  <c r="F98" i="14"/>
  <c r="D98" i="14"/>
  <c r="F97" i="14"/>
  <c r="D97" i="14"/>
  <c r="G97" i="14" s="1"/>
  <c r="F96" i="14"/>
  <c r="D96" i="14"/>
  <c r="F95" i="14"/>
  <c r="D95" i="14"/>
  <c r="G95" i="14" s="1"/>
  <c r="F94" i="14"/>
  <c r="D94" i="14"/>
  <c r="F93" i="14"/>
  <c r="D93" i="14"/>
  <c r="G93" i="14" s="1"/>
  <c r="F92" i="14"/>
  <c r="D92" i="14"/>
  <c r="F91" i="14"/>
  <c r="D91" i="14"/>
  <c r="G91" i="14" s="1"/>
  <c r="F90" i="14"/>
  <c r="D90" i="14"/>
  <c r="F89" i="14"/>
  <c r="D89" i="14"/>
  <c r="G89" i="14" s="1"/>
  <c r="F88" i="14"/>
  <c r="D88" i="14"/>
  <c r="F87" i="14"/>
  <c r="D87" i="14"/>
  <c r="G87" i="14" s="1"/>
  <c r="F80" i="14"/>
  <c r="D80" i="14"/>
  <c r="F79" i="14"/>
  <c r="D79" i="14"/>
  <c r="G79" i="14" s="1"/>
  <c r="F78" i="14"/>
  <c r="D78" i="14"/>
  <c r="F77" i="14"/>
  <c r="D77" i="14"/>
  <c r="G77" i="14" s="1"/>
  <c r="F76" i="14"/>
  <c r="D76" i="14"/>
  <c r="F75" i="14"/>
  <c r="D75" i="14"/>
  <c r="G75" i="14" s="1"/>
  <c r="F74" i="14"/>
  <c r="D74" i="14"/>
  <c r="F73" i="14"/>
  <c r="D73" i="14"/>
  <c r="G73" i="14" s="1"/>
  <c r="F72" i="14"/>
  <c r="D72" i="14"/>
  <c r="F71" i="14"/>
  <c r="D71" i="14"/>
  <c r="G71" i="14" s="1"/>
  <c r="F70" i="14"/>
  <c r="D70" i="14"/>
  <c r="F69" i="14"/>
  <c r="D69" i="14"/>
  <c r="G69" i="14" s="1"/>
  <c r="F62" i="14"/>
  <c r="D62" i="14"/>
  <c r="K62" i="14" s="1"/>
  <c r="F61" i="14"/>
  <c r="D61" i="14"/>
  <c r="K61" i="14" s="1"/>
  <c r="F60" i="14"/>
  <c r="D60" i="14"/>
  <c r="K60" i="14" s="1"/>
  <c r="F59" i="14"/>
  <c r="D59" i="14"/>
  <c r="K59" i="14" s="1"/>
  <c r="F58" i="14"/>
  <c r="D58" i="14"/>
  <c r="K58" i="14" s="1"/>
  <c r="F57" i="14"/>
  <c r="D57" i="14"/>
  <c r="K57" i="14" s="1"/>
  <c r="F56" i="14"/>
  <c r="D56" i="14"/>
  <c r="K56" i="14" s="1"/>
  <c r="F55" i="14"/>
  <c r="D55" i="14"/>
  <c r="K55" i="14" s="1"/>
  <c r="F54" i="14"/>
  <c r="D54" i="14"/>
  <c r="K54" i="14" s="1"/>
  <c r="F53" i="14"/>
  <c r="D53" i="14"/>
  <c r="K53" i="14" s="1"/>
  <c r="F52" i="14"/>
  <c r="D52" i="14"/>
  <c r="K52" i="14" s="1"/>
  <c r="F51" i="14"/>
  <c r="D51" i="14"/>
  <c r="K51" i="14" s="1"/>
  <c r="F44" i="14"/>
  <c r="D44" i="14"/>
  <c r="K44" i="14" s="1"/>
  <c r="F43" i="14"/>
  <c r="D43" i="14"/>
  <c r="K43" i="14" s="1"/>
  <c r="F42" i="14"/>
  <c r="D42" i="14"/>
  <c r="K42" i="14" s="1"/>
  <c r="F41" i="14"/>
  <c r="D41" i="14"/>
  <c r="K41" i="14" s="1"/>
  <c r="F40" i="14"/>
  <c r="D40" i="14"/>
  <c r="K40" i="14" s="1"/>
  <c r="F39" i="14"/>
  <c r="D39" i="14"/>
  <c r="K39" i="14" s="1"/>
  <c r="F38" i="14"/>
  <c r="D38" i="14"/>
  <c r="K38" i="14" s="1"/>
  <c r="F37" i="14"/>
  <c r="D37" i="14"/>
  <c r="K37" i="14" s="1"/>
  <c r="F36" i="14"/>
  <c r="D36" i="14"/>
  <c r="K36" i="14" s="1"/>
  <c r="F35" i="14"/>
  <c r="D35" i="14"/>
  <c r="K35" i="14" s="1"/>
  <c r="F34" i="14"/>
  <c r="D34" i="14"/>
  <c r="K34" i="14" s="1"/>
  <c r="F33" i="14"/>
  <c r="D33" i="14"/>
  <c r="K33" i="14" s="1"/>
  <c r="F26" i="14"/>
  <c r="D26" i="14"/>
  <c r="K26" i="14" s="1"/>
  <c r="F25" i="14"/>
  <c r="D25" i="14"/>
  <c r="K25" i="14" s="1"/>
  <c r="F24" i="14"/>
  <c r="D24" i="14"/>
  <c r="K24" i="14" s="1"/>
  <c r="F23" i="14"/>
  <c r="D23" i="14"/>
  <c r="K23" i="14" s="1"/>
  <c r="F22" i="14"/>
  <c r="D22" i="14"/>
  <c r="K22" i="14" s="1"/>
  <c r="F21" i="14"/>
  <c r="D21" i="14"/>
  <c r="K21" i="14" s="1"/>
  <c r="F20" i="14"/>
  <c r="D20" i="14"/>
  <c r="K20" i="14" s="1"/>
  <c r="F19" i="14"/>
  <c r="D19" i="14"/>
  <c r="K19" i="14" s="1"/>
  <c r="F18" i="14"/>
  <c r="D18" i="14"/>
  <c r="K18" i="14" s="1"/>
  <c r="F17" i="14"/>
  <c r="D17" i="14"/>
  <c r="K17" i="14" s="1"/>
  <c r="F16" i="14"/>
  <c r="D16" i="14"/>
  <c r="K16" i="14" s="1"/>
  <c r="F15" i="14"/>
  <c r="D15" i="14"/>
  <c r="K15" i="14" s="1"/>
  <c r="G70" i="13"/>
  <c r="F70" i="13"/>
  <c r="E70" i="13"/>
  <c r="F69" i="13"/>
  <c r="E69" i="13"/>
  <c r="G69" i="13" s="1"/>
  <c r="F68" i="13"/>
  <c r="E68" i="13"/>
  <c r="F66" i="13"/>
  <c r="E66" i="13"/>
  <c r="G66" i="13" s="1"/>
  <c r="F63" i="13"/>
  <c r="E63" i="13"/>
  <c r="F62" i="13"/>
  <c r="E62" i="13"/>
  <c r="G62" i="13" s="1"/>
  <c r="F61" i="13"/>
  <c r="G61" i="13" s="1"/>
  <c r="E61" i="13"/>
  <c r="F59" i="13"/>
  <c r="E59" i="13"/>
  <c r="G59" i="13" s="1"/>
  <c r="D59" i="13"/>
  <c r="F57" i="13"/>
  <c r="E57" i="13"/>
  <c r="D57" i="13"/>
  <c r="F55" i="13"/>
  <c r="E55" i="13"/>
  <c r="D55" i="13"/>
  <c r="F53" i="13"/>
  <c r="F51" i="13"/>
  <c r="F49" i="13"/>
  <c r="E46" i="13"/>
  <c r="D47" i="13"/>
  <c r="D32" i="13"/>
  <c r="D31" i="13"/>
  <c r="G42" i="13" s="1"/>
  <c r="E25" i="13"/>
  <c r="D53" i="13" s="1"/>
  <c r="A40" i="13"/>
  <c r="F68" i="12"/>
  <c r="F66" i="12"/>
  <c r="B58" i="12"/>
  <c r="F57" i="12"/>
  <c r="F55" i="12"/>
  <c r="F53" i="12"/>
  <c r="E49" i="12"/>
  <c r="E48" i="12"/>
  <c r="E47" i="12"/>
  <c r="I29" i="12"/>
  <c r="F51" i="12" s="1"/>
  <c r="H29" i="12"/>
  <c r="E24" i="12"/>
  <c r="E68" i="12" s="1"/>
  <c r="C22" i="12"/>
  <c r="E57" i="12" s="1"/>
  <c r="E16" i="12"/>
  <c r="F61" i="12" s="1"/>
  <c r="L6" i="12"/>
  <c r="G90" i="11"/>
  <c r="F68" i="11"/>
  <c r="C62" i="11"/>
  <c r="F57" i="11"/>
  <c r="D57" i="11"/>
  <c r="F53" i="11"/>
  <c r="D53" i="11"/>
  <c r="H51" i="11"/>
  <c r="F51" i="11"/>
  <c r="D51" i="11"/>
  <c r="H49" i="11"/>
  <c r="F49" i="11"/>
  <c r="D96" i="11" s="1"/>
  <c r="G96" i="11" s="1"/>
  <c r="D49" i="11"/>
  <c r="H47" i="11"/>
  <c r="F80" i="11" s="1"/>
  <c r="F47" i="11"/>
  <c r="E80" i="11" s="1"/>
  <c r="D47" i="11"/>
  <c r="F45" i="11"/>
  <c r="E68" i="11" s="1"/>
  <c r="D45" i="11"/>
  <c r="H43" i="11"/>
  <c r="E86" i="11" s="1"/>
  <c r="F43" i="11"/>
  <c r="D83" i="11" s="1"/>
  <c r="D43" i="11"/>
  <c r="H40" i="11"/>
  <c r="G40" i="11"/>
  <c r="F40" i="11"/>
  <c r="F37" i="11"/>
  <c r="D77" i="11" s="1"/>
  <c r="F33" i="11"/>
  <c r="D64" i="11" s="1"/>
  <c r="H27" i="11"/>
  <c r="J43" i="11" s="1"/>
  <c r="D25" i="11"/>
  <c r="H18" i="11"/>
  <c r="G69" i="11" s="1"/>
  <c r="D18" i="11"/>
  <c r="C12" i="11"/>
  <c r="E64" i="11" s="1"/>
  <c r="G9" i="11"/>
  <c r="D55" i="11" s="1"/>
  <c r="I5" i="11"/>
  <c r="E98" i="11" s="1"/>
  <c r="F59" i="10"/>
  <c r="F55" i="10"/>
  <c r="F53" i="10"/>
  <c r="F51" i="10"/>
  <c r="E19" i="10"/>
  <c r="E10" i="10" s="1"/>
  <c r="F72" i="10" s="1"/>
  <c r="C17" i="10"/>
  <c r="F70" i="10" s="1"/>
  <c r="F60" i="9"/>
  <c r="F56" i="9"/>
  <c r="F54" i="9"/>
  <c r="C28" i="9"/>
  <c r="F58" i="9" s="1"/>
  <c r="E24" i="9"/>
  <c r="E71" i="9" s="1"/>
  <c r="C22" i="9"/>
  <c r="F69" i="9" s="1"/>
  <c r="E16" i="9"/>
  <c r="E65" i="9" s="1"/>
  <c r="I136" i="8"/>
  <c r="G132" i="8"/>
  <c r="G131" i="8"/>
  <c r="G130" i="8"/>
  <c r="G129" i="8"/>
  <c r="G128" i="8"/>
  <c r="G125" i="8"/>
  <c r="G124" i="8"/>
  <c r="G123" i="8"/>
  <c r="G122" i="8"/>
  <c r="G121" i="8"/>
  <c r="G120" i="8"/>
  <c r="G118" i="8"/>
  <c r="G126" i="8" s="1"/>
  <c r="G115" i="8"/>
  <c r="G114" i="8"/>
  <c r="G113" i="8"/>
  <c r="G112" i="8"/>
  <c r="G111" i="8"/>
  <c r="G110" i="8"/>
  <c r="G109" i="8"/>
  <c r="G107" i="8"/>
  <c r="G116" i="8" s="1"/>
  <c r="F105" i="8"/>
  <c r="D105" i="8"/>
  <c r="G105" i="8" s="1"/>
  <c r="G102" i="8"/>
  <c r="G101" i="8"/>
  <c r="G100" i="8"/>
  <c r="G99" i="8"/>
  <c r="G98" i="8"/>
  <c r="G97" i="8"/>
  <c r="G95" i="8"/>
  <c r="G92" i="8"/>
  <c r="G91" i="8"/>
  <c r="G90" i="8"/>
  <c r="G89" i="8"/>
  <c r="G88" i="8"/>
  <c r="I86" i="8"/>
  <c r="I85" i="8"/>
  <c r="I83" i="8"/>
  <c r="I82" i="8"/>
  <c r="I81" i="8"/>
  <c r="G78" i="8"/>
  <c r="G77" i="8"/>
  <c r="G76" i="8"/>
  <c r="G75" i="8"/>
  <c r="G74" i="8"/>
  <c r="G73" i="8"/>
  <c r="G72" i="8"/>
  <c r="G70" i="8"/>
  <c r="G69" i="8"/>
  <c r="G68" i="8"/>
  <c r="E66" i="8"/>
  <c r="D66" i="8"/>
  <c r="G63" i="8"/>
  <c r="G62" i="8"/>
  <c r="G61" i="8"/>
  <c r="G58" i="8"/>
  <c r="G57" i="8"/>
  <c r="G59" i="8" s="1"/>
  <c r="G55" i="8"/>
  <c r="G52" i="8"/>
  <c r="G51" i="8"/>
  <c r="G50" i="8"/>
  <c r="G49" i="8"/>
  <c r="G48" i="8"/>
  <c r="G47" i="8"/>
  <c r="G45" i="8"/>
  <c r="G42" i="8"/>
  <c r="G41" i="8"/>
  <c r="G40" i="8"/>
  <c r="G39" i="8"/>
  <c r="G38" i="8"/>
  <c r="G37" i="8"/>
  <c r="G36" i="8"/>
  <c r="G35" i="8"/>
  <c r="G34" i="8"/>
  <c r="G33" i="8"/>
  <c r="G32" i="8"/>
  <c r="G43" i="8" s="1"/>
  <c r="G29" i="8"/>
  <c r="G28" i="8"/>
  <c r="G27" i="8"/>
  <c r="G26" i="8"/>
  <c r="G25" i="8"/>
  <c r="D25" i="8"/>
  <c r="G24" i="8"/>
  <c r="G21" i="8"/>
  <c r="G20" i="8"/>
  <c r="G19" i="8"/>
  <c r="G18" i="8"/>
  <c r="G17" i="8"/>
  <c r="D17" i="8"/>
  <c r="G16" i="8"/>
  <c r="G13" i="8"/>
  <c r="G12" i="8"/>
  <c r="G11" i="8"/>
  <c r="D10" i="8"/>
  <c r="G10" i="8" s="1"/>
  <c r="D9" i="8"/>
  <c r="G9" i="8" s="1"/>
  <c r="G8" i="8"/>
  <c r="J148" i="7"/>
  <c r="G142" i="7"/>
  <c r="G141" i="7"/>
  <c r="G140" i="7"/>
  <c r="G139" i="7"/>
  <c r="G138" i="7"/>
  <c r="G131" i="7"/>
  <c r="F1373" i="18" s="1"/>
  <c r="C1374" i="18" s="1"/>
  <c r="D126" i="7"/>
  <c r="G126" i="7" s="1"/>
  <c r="D125" i="7"/>
  <c r="G125" i="7" s="1"/>
  <c r="D124" i="7"/>
  <c r="G124" i="7" s="1"/>
  <c r="D122" i="7"/>
  <c r="G122" i="7" s="1"/>
  <c r="D120" i="7"/>
  <c r="G120" i="7" s="1"/>
  <c r="D118" i="7"/>
  <c r="G118" i="7" s="1"/>
  <c r="D116" i="7"/>
  <c r="G116" i="7" s="1"/>
  <c r="D114" i="7"/>
  <c r="G114" i="7" s="1"/>
  <c r="G112" i="7"/>
  <c r="D112" i="7"/>
  <c r="D110" i="7"/>
  <c r="C110" i="7"/>
  <c r="G110" i="7" s="1"/>
  <c r="D108" i="7"/>
  <c r="G108" i="7" s="1"/>
  <c r="E102" i="7"/>
  <c r="D102" i="7"/>
  <c r="G102" i="7" s="1"/>
  <c r="E100" i="7"/>
  <c r="D100" i="7"/>
  <c r="E99" i="7"/>
  <c r="D99" i="7"/>
  <c r="G99" i="7" s="1"/>
  <c r="E97" i="7"/>
  <c r="D97" i="7"/>
  <c r="E95" i="7"/>
  <c r="D95" i="7"/>
  <c r="G95" i="7" s="1"/>
  <c r="E93" i="7"/>
  <c r="D93" i="7"/>
  <c r="E91" i="7"/>
  <c r="D91" i="7"/>
  <c r="G91" i="7" s="1"/>
  <c r="E89" i="7"/>
  <c r="D89" i="7"/>
  <c r="E87" i="7"/>
  <c r="D87" i="7"/>
  <c r="G87" i="7" s="1"/>
  <c r="E85" i="7"/>
  <c r="D85" i="7"/>
  <c r="C85" i="7"/>
  <c r="E83" i="7"/>
  <c r="D83" i="7"/>
  <c r="G83" i="7" s="1"/>
  <c r="E76" i="7"/>
  <c r="E75" i="7"/>
  <c r="E74" i="7"/>
  <c r="E72" i="7"/>
  <c r="E70" i="7"/>
  <c r="E68" i="7"/>
  <c r="E66" i="7"/>
  <c r="E64" i="7"/>
  <c r="E62" i="7"/>
  <c r="D60" i="7"/>
  <c r="D75" i="7" s="1"/>
  <c r="G75" i="7" s="1"/>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M26" i="7"/>
  <c r="G26" i="7"/>
  <c r="G24" i="7"/>
  <c r="F23" i="7"/>
  <c r="G23" i="7" s="1"/>
  <c r="G25" i="7" s="1"/>
  <c r="G16" i="7"/>
  <c r="G15" i="7"/>
  <c r="G11" i="7"/>
  <c r="G8" i="7"/>
  <c r="I125" i="6"/>
  <c r="G125" i="6"/>
  <c r="I123" i="6"/>
  <c r="I121" i="6"/>
  <c r="G113" i="6"/>
  <c r="E111" i="6"/>
  <c r="G111" i="6" s="1"/>
  <c r="D111" i="6"/>
  <c r="G106" i="6"/>
  <c r="G105" i="6"/>
  <c r="G104" i="6"/>
  <c r="E102" i="6"/>
  <c r="D102" i="6"/>
  <c r="G102" i="6" s="1"/>
  <c r="E101" i="6"/>
  <c r="G101" i="6" s="1"/>
  <c r="G117" i="6" s="1"/>
  <c r="D101" i="6"/>
  <c r="E100" i="6"/>
  <c r="D100" i="6"/>
  <c r="G100" i="6" s="1"/>
  <c r="E98" i="6"/>
  <c r="G98" i="6" s="1"/>
  <c r="D98" i="6"/>
  <c r="G95" i="6"/>
  <c r="D94" i="6"/>
  <c r="G92" i="6"/>
  <c r="E89" i="6"/>
  <c r="D84" i="6"/>
  <c r="F83" i="6"/>
  <c r="F84" i="6" s="1"/>
  <c r="D83" i="6"/>
  <c r="G83" i="6" s="1"/>
  <c r="C83" i="6"/>
  <c r="G79" i="6"/>
  <c r="G75" i="6"/>
  <c r="G72" i="6"/>
  <c r="G71" i="6"/>
  <c r="D69" i="6"/>
  <c r="D66" i="6"/>
  <c r="F65" i="6"/>
  <c r="F66" i="6" s="1"/>
  <c r="E65" i="6"/>
  <c r="E66" i="6" s="1"/>
  <c r="D65" i="6"/>
  <c r="C65" i="6"/>
  <c r="F63" i="6"/>
  <c r="E63" i="6"/>
  <c r="D63" i="6"/>
  <c r="C63" i="6"/>
  <c r="E60" i="6"/>
  <c r="D60" i="6" s="1"/>
  <c r="G60" i="6" s="1"/>
  <c r="C60" i="6"/>
  <c r="C59" i="6"/>
  <c r="G59" i="6" s="1"/>
  <c r="G55" i="6"/>
  <c r="D54" i="6"/>
  <c r="E53" i="6"/>
  <c r="D53" i="6"/>
  <c r="F50" i="6"/>
  <c r="D49" i="6"/>
  <c r="E48" i="6"/>
  <c r="D48" i="6"/>
  <c r="E45" i="6"/>
  <c r="E50" i="6" s="1"/>
  <c r="E56" i="6" s="1"/>
  <c r="D45" i="6"/>
  <c r="D50" i="6" s="1"/>
  <c r="G44" i="6"/>
  <c r="C43" i="6"/>
  <c r="C48" i="6" s="1"/>
  <c r="C50" i="6" s="1"/>
  <c r="F42" i="6"/>
  <c r="F45" i="6" s="1"/>
  <c r="D42" i="6"/>
  <c r="C89" i="6" s="1"/>
  <c r="G89" i="6" s="1"/>
  <c r="G38" i="6"/>
  <c r="L13" i="6"/>
  <c r="I8" i="6"/>
  <c r="B86" i="6" s="1"/>
  <c r="C8" i="6"/>
  <c r="D109" i="6" s="1"/>
  <c r="F6" i="6"/>
  <c r="E109" i="6" s="1"/>
  <c r="F2" i="6"/>
  <c r="E23" i="6" s="1"/>
  <c r="G33" i="6" s="1"/>
  <c r="E2" i="6"/>
  <c r="D23" i="6" s="1"/>
  <c r="F33" i="6" s="1"/>
  <c r="G100" i="5"/>
  <c r="I94" i="5"/>
  <c r="G88" i="5"/>
  <c r="G87" i="5"/>
  <c r="F86" i="5"/>
  <c r="B76" i="5"/>
  <c r="B74" i="5"/>
  <c r="G72" i="5"/>
  <c r="G71" i="5"/>
  <c r="F70" i="5"/>
  <c r="E70" i="5"/>
  <c r="E66" i="5"/>
  <c r="E68" i="5" s="1"/>
  <c r="F64" i="5"/>
  <c r="E64" i="5"/>
  <c r="F62" i="5"/>
  <c r="F60" i="5"/>
  <c r="F58" i="5"/>
  <c r="H48" i="5"/>
  <c r="E29" i="5"/>
  <c r="E86" i="5" s="1"/>
  <c r="C29" i="5"/>
  <c r="F68" i="5" s="1"/>
  <c r="F67" i="5"/>
  <c r="H22" i="5"/>
  <c r="E21" i="5"/>
  <c r="E77" i="5" s="1"/>
  <c r="G77" i="5" s="1"/>
  <c r="B49" i="5"/>
  <c r="G106" i="4"/>
  <c r="I100" i="4"/>
  <c r="G94" i="4"/>
  <c r="G93" i="4"/>
  <c r="B82" i="4"/>
  <c r="B80" i="4"/>
  <c r="G78" i="4"/>
  <c r="G77" i="4"/>
  <c r="F76" i="4"/>
  <c r="F91" i="4" s="1"/>
  <c r="F92" i="4" s="1"/>
  <c r="E76" i="4"/>
  <c r="F74" i="4"/>
  <c r="F73" i="4"/>
  <c r="F72" i="4"/>
  <c r="E72" i="4"/>
  <c r="E73" i="4" s="1"/>
  <c r="E74" i="4" s="1"/>
  <c r="F70" i="4"/>
  <c r="E70" i="4"/>
  <c r="F68" i="4"/>
  <c r="F65" i="4"/>
  <c r="F62" i="4"/>
  <c r="F39" i="4"/>
  <c r="H50" i="4" s="1"/>
  <c r="E29" i="4"/>
  <c r="E92" i="4" s="1"/>
  <c r="A49" i="4"/>
  <c r="L163" i="3"/>
  <c r="F78" i="22" s="1"/>
  <c r="I159" i="3"/>
  <c r="F77" i="22" s="1"/>
  <c r="H143" i="3"/>
  <c r="F1248" i="18" s="1"/>
  <c r="D143" i="3"/>
  <c r="F95" i="21" s="1"/>
  <c r="L133" i="3"/>
  <c r="C1375" i="18" s="1"/>
  <c r="H130" i="3"/>
  <c r="F1102" i="18" s="1"/>
  <c r="I1102" i="18" s="1"/>
  <c r="G129" i="3"/>
  <c r="D129" i="3"/>
  <c r="F62" i="23" s="1"/>
  <c r="D104" i="3"/>
  <c r="O75" i="3"/>
  <c r="O74" i="3"/>
  <c r="O73" i="3"/>
  <c r="O72" i="3"/>
  <c r="O71" i="3"/>
  <c r="O70" i="3"/>
  <c r="O68" i="3"/>
  <c r="O67" i="3"/>
  <c r="E55" i="24" s="1"/>
  <c r="C50" i="3"/>
  <c r="I14" i="3"/>
  <c r="H15" i="3" s="1"/>
  <c r="D6" i="3"/>
  <c r="E13" i="1" s="1"/>
  <c r="G229" i="2"/>
  <c r="F226" i="2"/>
  <c r="E226" i="2"/>
  <c r="G223" i="2"/>
  <c r="F220" i="2"/>
  <c r="E220" i="2"/>
  <c r="G220" i="2" s="1"/>
  <c r="F218" i="2"/>
  <c r="F216" i="2"/>
  <c r="G209" i="2"/>
  <c r="I209" i="2" s="1"/>
  <c r="E196" i="2"/>
  <c r="E216" i="2" s="1"/>
  <c r="G216" i="2" s="1"/>
  <c r="C183" i="2"/>
  <c r="E182" i="2"/>
  <c r="E228" i="2" s="1"/>
  <c r="G175" i="2"/>
  <c r="F172" i="2"/>
  <c r="E172" i="2"/>
  <c r="G169" i="2"/>
  <c r="F166" i="2"/>
  <c r="E166" i="2"/>
  <c r="G166" i="2" s="1"/>
  <c r="F164" i="2"/>
  <c r="F162" i="2"/>
  <c r="G155" i="2"/>
  <c r="I155" i="2" s="1"/>
  <c r="G144" i="2" s="1"/>
  <c r="C129" i="2"/>
  <c r="E128" i="2"/>
  <c r="E174" i="2" s="1"/>
  <c r="G116" i="2"/>
  <c r="F113" i="2"/>
  <c r="E113" i="2"/>
  <c r="G113" i="2" s="1"/>
  <c r="G110" i="2"/>
  <c r="F107" i="2"/>
  <c r="E107" i="2"/>
  <c r="G107" i="2" s="1"/>
  <c r="F105" i="2"/>
  <c r="F103" i="2"/>
  <c r="G96" i="2"/>
  <c r="I96" i="2" s="1"/>
  <c r="G85" i="2" s="1"/>
  <c r="E83" i="2"/>
  <c r="E103" i="2" s="1"/>
  <c r="G103" i="2" s="1"/>
  <c r="C70" i="2"/>
  <c r="E69" i="2"/>
  <c r="E115" i="2" s="1"/>
  <c r="G62" i="2"/>
  <c r="F59" i="2"/>
  <c r="G56" i="2"/>
  <c r="F53" i="2"/>
  <c r="F51" i="2"/>
  <c r="F49" i="2"/>
  <c r="E23" i="2"/>
  <c r="D53" i="2" s="1"/>
  <c r="C21" i="2"/>
  <c r="E53" i="2" s="1"/>
  <c r="C16" i="2"/>
  <c r="G166" i="1"/>
  <c r="G159" i="1"/>
  <c r="G153" i="1"/>
  <c r="G147" i="1"/>
  <c r="D112" i="1"/>
  <c r="G113" i="1" s="1"/>
  <c r="D105" i="1"/>
  <c r="G106" i="1" s="1"/>
  <c r="H80" i="1"/>
  <c r="H81" i="1" s="1"/>
  <c r="E66" i="1"/>
  <c r="E58" i="1"/>
  <c r="E39" i="1"/>
  <c r="E41" i="1" s="1"/>
  <c r="G24" i="1"/>
  <c r="H61" i="1"/>
  <c r="N18" i="1"/>
  <c r="K10" i="1"/>
  <c r="K9" i="1"/>
  <c r="H16" i="11" l="1"/>
  <c r="C544" i="18"/>
  <c r="F544" i="18"/>
  <c r="C543" i="18"/>
  <c r="F560" i="18"/>
  <c r="C560" i="18"/>
  <c r="G61" i="6"/>
  <c r="C592" i="18"/>
  <c r="F592" i="18"/>
  <c r="G53" i="2"/>
  <c r="G85" i="7"/>
  <c r="G143" i="7"/>
  <c r="G146" i="7" s="1"/>
  <c r="G22" i="8"/>
  <c r="G79" i="8"/>
  <c r="G103" i="8"/>
  <c r="G133" i="8"/>
  <c r="G68" i="12"/>
  <c r="G55" i="13"/>
  <c r="G63" i="13"/>
  <c r="G68" i="13"/>
  <c r="G71" i="13" s="1"/>
  <c r="C90" i="17"/>
  <c r="C86" i="17"/>
  <c r="C92" i="17"/>
  <c r="C88" i="17"/>
  <c r="C91" i="17"/>
  <c r="C87" i="17"/>
  <c r="C89" i="17"/>
  <c r="G200" i="21"/>
  <c r="D24" i="23"/>
  <c r="G75" i="23"/>
  <c r="I584" i="18"/>
  <c r="F1013" i="18"/>
  <c r="F1113" i="18"/>
  <c r="F1121" i="18" s="1"/>
  <c r="F1178" i="18"/>
  <c r="F1188" i="18" s="1"/>
  <c r="F1198" i="18" s="1"/>
  <c r="F1258" i="18"/>
  <c r="D1137" i="18"/>
  <c r="C1139" i="18" s="1"/>
  <c r="I1139" i="18" s="1"/>
  <c r="B90" i="22"/>
  <c r="G226" i="2"/>
  <c r="D54" i="5"/>
  <c r="D55" i="5" s="1"/>
  <c r="G109" i="6"/>
  <c r="G63" i="6"/>
  <c r="G89" i="7"/>
  <c r="G93" i="7"/>
  <c r="G97" i="7"/>
  <c r="G100" i="7"/>
  <c r="G70" i="14"/>
  <c r="G72" i="14"/>
  <c r="G74" i="14"/>
  <c r="G76" i="14"/>
  <c r="G78" i="14"/>
  <c r="G80" i="14"/>
  <c r="G88" i="14"/>
  <c r="G90" i="14"/>
  <c r="G92" i="14"/>
  <c r="G94" i="14"/>
  <c r="G96" i="14"/>
  <c r="G98" i="14"/>
  <c r="D91" i="17"/>
  <c r="G91" i="17" s="1"/>
  <c r="D87" i="17"/>
  <c r="D89" i="17"/>
  <c r="D90" i="17"/>
  <c r="D86" i="17"/>
  <c r="D92" i="17"/>
  <c r="D88" i="17"/>
  <c r="B206" i="17"/>
  <c r="B207" i="17" s="1"/>
  <c r="B208" i="17" s="1"/>
  <c r="B209" i="17" s="1"/>
  <c r="N4" i="21"/>
  <c r="G161" i="21"/>
  <c r="G166" i="21"/>
  <c r="G171" i="21"/>
  <c r="G176" i="21"/>
  <c r="G181" i="21"/>
  <c r="G193" i="21"/>
  <c r="G57" i="22"/>
  <c r="G73" i="23"/>
  <c r="G116" i="23"/>
  <c r="G131" i="23"/>
  <c r="H34" i="25"/>
  <c r="H35" i="25" s="1"/>
  <c r="H36" i="25" s="1"/>
  <c r="H55" i="25"/>
  <c r="H56" i="25" s="1"/>
  <c r="J174" i="25"/>
  <c r="F1046" i="18"/>
  <c r="F1083" i="18"/>
  <c r="F1131" i="18"/>
  <c r="F1238" i="18"/>
  <c r="G17" i="30"/>
  <c r="G53" i="8"/>
  <c r="G135" i="8" s="1"/>
  <c r="S10" i="20"/>
  <c r="S11" i="20" s="1"/>
  <c r="E155" i="3"/>
  <c r="F1234" i="18" s="1"/>
  <c r="C1236" i="18" s="1"/>
  <c r="I1236" i="18" s="1"/>
  <c r="F45" i="13"/>
  <c r="G45" i="13" s="1"/>
  <c r="D142" i="18"/>
  <c r="C143" i="18" s="1"/>
  <c r="D980" i="18"/>
  <c r="F982" i="18" s="1"/>
  <c r="F1064" i="18"/>
  <c r="F1092" i="18"/>
  <c r="I1092" i="18" s="1"/>
  <c r="F1141" i="18"/>
  <c r="I1141" i="18" s="1"/>
  <c r="I1142" i="18" s="1"/>
  <c r="I1143" i="18" s="1"/>
  <c r="G86" i="5"/>
  <c r="G30" i="8"/>
  <c r="G64" i="8"/>
  <c r="G66" i="8"/>
  <c r="G93" i="8"/>
  <c r="C17" i="9"/>
  <c r="D52" i="9"/>
  <c r="E52" i="9" s="1"/>
  <c r="G68" i="11"/>
  <c r="G57" i="13"/>
  <c r="D55" i="21"/>
  <c r="G187" i="21"/>
  <c r="G77" i="22"/>
  <c r="I77" i="22" s="1"/>
  <c r="F88" i="22"/>
  <c r="E49" i="23"/>
  <c r="I152" i="23" s="1"/>
  <c r="H40" i="3"/>
  <c r="E957" i="18"/>
  <c r="F1002" i="18"/>
  <c r="F1074" i="18"/>
  <c r="F1208" i="18"/>
  <c r="F1218" i="18" s="1"/>
  <c r="F1228" i="18"/>
  <c r="I9" i="31"/>
  <c r="I474" i="18"/>
  <c r="H897" i="18"/>
  <c r="H898" i="18" s="1"/>
  <c r="H899" i="18" s="1"/>
  <c r="H900" i="18" s="1"/>
  <c r="H901" i="18" s="1"/>
  <c r="H902" i="18" s="1"/>
  <c r="H903" i="18" s="1"/>
  <c r="H904" i="18" s="1"/>
  <c r="H905" i="18" s="1"/>
  <c r="H906" i="18" s="1"/>
  <c r="H907" i="18" s="1"/>
  <c r="H908" i="18" s="1"/>
  <c r="H909" i="18" s="1"/>
  <c r="H910" i="18" s="1"/>
  <c r="H911" i="18" s="1"/>
  <c r="H912" i="18" s="1"/>
  <c r="H913" i="18" s="1"/>
  <c r="H914" i="18" s="1"/>
  <c r="H915" i="18" s="1"/>
  <c r="H916" i="18" s="1"/>
  <c r="H917" i="18" s="1"/>
  <c r="H918" i="18" s="1"/>
  <c r="H927" i="18"/>
  <c r="H928" i="18" s="1"/>
  <c r="H929" i="18" s="1"/>
  <c r="H930" i="18" s="1"/>
  <c r="H931" i="18" s="1"/>
  <c r="H932" i="18" s="1"/>
  <c r="H933" i="18" s="1"/>
  <c r="H934" i="18" s="1"/>
  <c r="H935" i="18" s="1"/>
  <c r="H936" i="18" s="1"/>
  <c r="H937" i="18" s="1"/>
  <c r="H938" i="18" s="1"/>
  <c r="H939" i="18" s="1"/>
  <c r="H940" i="18" s="1"/>
  <c r="H941" i="18" s="1"/>
  <c r="H942" i="18" s="1"/>
  <c r="H943" i="18" s="1"/>
  <c r="H944" i="18" s="1"/>
  <c r="H945" i="18" s="1"/>
  <c r="H946" i="18" s="1"/>
  <c r="H947" i="18" s="1"/>
  <c r="H948" i="18" s="1"/>
  <c r="H837" i="18"/>
  <c r="H838" i="18" s="1"/>
  <c r="H839" i="18" s="1"/>
  <c r="H840" i="18" s="1"/>
  <c r="H841" i="18" s="1"/>
  <c r="H842" i="18" s="1"/>
  <c r="H843" i="18" s="1"/>
  <c r="H844" i="18" s="1"/>
  <c r="H845" i="18" s="1"/>
  <c r="H846" i="18" s="1"/>
  <c r="H847" i="18" s="1"/>
  <c r="H848" i="18" s="1"/>
  <c r="H849" i="18" s="1"/>
  <c r="H850" i="18" s="1"/>
  <c r="H851" i="18" s="1"/>
  <c r="H852" i="18" s="1"/>
  <c r="H853" i="18" s="1"/>
  <c r="H854" i="18" s="1"/>
  <c r="H855" i="18" s="1"/>
  <c r="H856" i="18" s="1"/>
  <c r="H857" i="18" s="1"/>
  <c r="H858" i="18" s="1"/>
  <c r="H867" i="18"/>
  <c r="H868" i="18" s="1"/>
  <c r="H869" i="18" s="1"/>
  <c r="H870" i="18" s="1"/>
  <c r="H871" i="18" s="1"/>
  <c r="H872" i="18" s="1"/>
  <c r="H873" i="18" s="1"/>
  <c r="H874" i="18" s="1"/>
  <c r="H875" i="18" s="1"/>
  <c r="H876" i="18" s="1"/>
  <c r="H877" i="18" s="1"/>
  <c r="H878" i="18" s="1"/>
  <c r="H879" i="18" s="1"/>
  <c r="H880" i="18" s="1"/>
  <c r="H881" i="18" s="1"/>
  <c r="H882" i="18" s="1"/>
  <c r="H883" i="18" s="1"/>
  <c r="H884" i="18" s="1"/>
  <c r="H885" i="18" s="1"/>
  <c r="H886" i="18" s="1"/>
  <c r="H887" i="18" s="1"/>
  <c r="H888" i="18" s="1"/>
  <c r="I124" i="18"/>
  <c r="C1129" i="18"/>
  <c r="I722" i="18"/>
  <c r="Q747" i="18"/>
  <c r="R747" i="18" s="1"/>
  <c r="G747" i="18" s="1"/>
  <c r="I506" i="18"/>
  <c r="C732" i="18"/>
  <c r="I732" i="18" s="1"/>
  <c r="I953" i="18"/>
  <c r="I963" i="18"/>
  <c r="I965" i="18" s="1"/>
  <c r="I1073" i="18"/>
  <c r="P761" i="18"/>
  <c r="H221" i="18"/>
  <c r="Q761" i="18"/>
  <c r="R761" i="18" s="1"/>
  <c r="G761" i="18" s="1"/>
  <c r="P753" i="18"/>
  <c r="P766" i="18"/>
  <c r="P758" i="18"/>
  <c r="P750" i="18"/>
  <c r="P763" i="18"/>
  <c r="Q763" i="18" s="1"/>
  <c r="P755" i="18"/>
  <c r="Q755" i="18" s="1"/>
  <c r="P768" i="18"/>
  <c r="Q768" i="18" s="1"/>
  <c r="P760" i="18"/>
  <c r="Q760" i="18" s="1"/>
  <c r="P752" i="18"/>
  <c r="P757" i="18"/>
  <c r="P749" i="18"/>
  <c r="P762" i="18"/>
  <c r="Q762" i="18" s="1"/>
  <c r="P754" i="18"/>
  <c r="P767" i="18"/>
  <c r="Q767" i="18" s="1"/>
  <c r="P759" i="18"/>
  <c r="Q759" i="18" s="1"/>
  <c r="P751" i="18"/>
  <c r="Q751" i="18" s="1"/>
  <c r="P764" i="18"/>
  <c r="Q764" i="18" s="1"/>
  <c r="P756" i="18"/>
  <c r="P748" i="18"/>
  <c r="I239" i="18"/>
  <c r="C559" i="18"/>
  <c r="C972" i="18"/>
  <c r="H1033" i="18"/>
  <c r="P765" i="18"/>
  <c r="E91" i="17"/>
  <c r="E89" i="17"/>
  <c r="E87" i="17"/>
  <c r="E92" i="17"/>
  <c r="F14" i="20" s="1"/>
  <c r="K14" i="20" s="1"/>
  <c r="G88" i="18" s="1"/>
  <c r="I88" i="18" s="1"/>
  <c r="E90" i="17"/>
  <c r="E88" i="17"/>
  <c r="E86" i="17"/>
  <c r="C64" i="3"/>
  <c r="D40" i="24" s="1"/>
  <c r="D55" i="24" s="1"/>
  <c r="G80" i="11"/>
  <c r="D93" i="3"/>
  <c r="C773" i="18"/>
  <c r="H108" i="17"/>
  <c r="H109" i="17" s="1"/>
  <c r="H110" i="17" s="1"/>
  <c r="H111" i="17" s="1"/>
  <c r="H112" i="17" s="1"/>
  <c r="H113" i="17" s="1"/>
  <c r="H114" i="17" s="1"/>
  <c r="H115" i="17" s="1"/>
  <c r="H116" i="17" s="1"/>
  <c r="H117" i="17" s="1"/>
  <c r="H118" i="17" s="1"/>
  <c r="H119" i="17" s="1"/>
  <c r="H120" i="17" s="1"/>
  <c r="H121" i="17" s="1"/>
  <c r="H122" i="17" s="1"/>
  <c r="H123" i="17" s="1"/>
  <c r="H124" i="17" s="1"/>
  <c r="H125" i="17" s="1"/>
  <c r="H126" i="17" s="1"/>
  <c r="H127" i="17" s="1"/>
  <c r="H128" i="17" s="1"/>
  <c r="H129" i="17" s="1"/>
  <c r="H130" i="17" s="1"/>
  <c r="H131" i="17" s="1"/>
  <c r="H132" i="17" s="1"/>
  <c r="H133" i="17" s="1"/>
  <c r="H134" i="17" s="1"/>
  <c r="H135" i="17" s="1"/>
  <c r="H136" i="17" s="1"/>
  <c r="H137" i="17" s="1"/>
  <c r="H138" i="17" s="1"/>
  <c r="H139" i="17" s="1"/>
  <c r="H140" i="17" s="1"/>
  <c r="H141" i="17" s="1"/>
  <c r="H142" i="17" s="1"/>
  <c r="H143" i="17" s="1"/>
  <c r="H144" i="17" s="1"/>
  <c r="H145" i="17" s="1"/>
  <c r="H146" i="17" s="1"/>
  <c r="H147" i="17" s="1"/>
  <c r="H148" i="17" s="1"/>
  <c r="H149" i="17" s="1"/>
  <c r="H150" i="17" s="1"/>
  <c r="H151" i="17" s="1"/>
  <c r="H152" i="17" s="1"/>
  <c r="H153" i="17" s="1"/>
  <c r="H154" i="17" s="1"/>
  <c r="H155" i="17" s="1"/>
  <c r="H156" i="17" s="1"/>
  <c r="H157" i="17" s="1"/>
  <c r="H158" i="17" s="1"/>
  <c r="H159" i="17" s="1"/>
  <c r="H160" i="17" s="1"/>
  <c r="H161" i="17" s="1"/>
  <c r="H162" i="17" s="1"/>
  <c r="H163" i="17" s="1"/>
  <c r="H164" i="17" s="1"/>
  <c r="H165" i="17" s="1"/>
  <c r="H166" i="17" s="1"/>
  <c r="H167" i="17" s="1"/>
  <c r="H168" i="17" s="1"/>
  <c r="H169" i="17" s="1"/>
  <c r="H170" i="17" s="1"/>
  <c r="H171" i="17" s="1"/>
  <c r="H172" i="17" s="1"/>
  <c r="H173" i="17" s="1"/>
  <c r="H174" i="17" s="1"/>
  <c r="H175" i="17" s="1"/>
  <c r="H176" i="17" s="1"/>
  <c r="H177" i="17" s="1"/>
  <c r="H178" i="17" s="1"/>
  <c r="H179" i="17" s="1"/>
  <c r="H180" i="17" s="1"/>
  <c r="H181" i="17" s="1"/>
  <c r="H182" i="17" s="1"/>
  <c r="H183" i="17" s="1"/>
  <c r="H184" i="17" s="1"/>
  <c r="H185" i="17" s="1"/>
  <c r="H186" i="17" s="1"/>
  <c r="H187" i="17" s="1"/>
  <c r="H188" i="17" s="1"/>
  <c r="H189" i="17" s="1"/>
  <c r="H190" i="17" s="1"/>
  <c r="H191" i="17" s="1"/>
  <c r="H192" i="17" s="1"/>
  <c r="H193" i="17" s="1"/>
  <c r="H194" i="17" s="1"/>
  <c r="H195" i="17" s="1"/>
  <c r="H196" i="17" s="1"/>
  <c r="H197" i="17" s="1"/>
  <c r="H198" i="17" s="1"/>
  <c r="H199" i="17" s="1"/>
  <c r="H200" i="17" s="1"/>
  <c r="H201" i="17" s="1"/>
  <c r="H202" i="17" s="1"/>
  <c r="H203" i="17" s="1"/>
  <c r="H204" i="17" s="1"/>
  <c r="H205" i="17" s="1"/>
  <c r="H206" i="17" s="1"/>
  <c r="H207" i="17" s="1"/>
  <c r="H208" i="17" s="1"/>
  <c r="H209" i="17" s="1"/>
  <c r="H210" i="17" s="1"/>
  <c r="H211" i="17" s="1"/>
  <c r="H212" i="17" s="1"/>
  <c r="H213" i="17" s="1"/>
  <c r="H214" i="17" s="1"/>
  <c r="H215" i="17" s="1"/>
  <c r="H216" i="17" s="1"/>
  <c r="H217" i="17" s="1"/>
  <c r="H218" i="17" s="1"/>
  <c r="H219" i="17" s="1"/>
  <c r="H220" i="17" s="1"/>
  <c r="H221" i="17" s="1"/>
  <c r="H222" i="17" s="1"/>
  <c r="H223" i="17" s="1"/>
  <c r="H224" i="17" s="1"/>
  <c r="H225" i="17" s="1"/>
  <c r="H226" i="17" s="1"/>
  <c r="H227" i="17" s="1"/>
  <c r="H228" i="17" s="1"/>
  <c r="H229" i="17" s="1"/>
  <c r="H230" i="17" s="1"/>
  <c r="H231" i="17" s="1"/>
  <c r="H232" i="17" s="1"/>
  <c r="H233" i="17" s="1"/>
  <c r="H234" i="17" s="1"/>
  <c r="H235" i="17" s="1"/>
  <c r="H236" i="17" s="1"/>
  <c r="H237" i="17" s="1"/>
  <c r="H238" i="17" s="1"/>
  <c r="H239" i="17" s="1"/>
  <c r="H240" i="17" s="1"/>
  <c r="H241" i="17" s="1"/>
  <c r="H242" i="17" s="1"/>
  <c r="H243" i="17" s="1"/>
  <c r="H244" i="17" s="1"/>
  <c r="H245" i="17" s="1"/>
  <c r="H246" i="17" s="1"/>
  <c r="H247" i="17" s="1"/>
  <c r="H248" i="17" s="1"/>
  <c r="H249" i="17" s="1"/>
  <c r="H250" i="17" s="1"/>
  <c r="H251" i="17" s="1"/>
  <c r="H252" i="17" s="1"/>
  <c r="H253" i="17" s="1"/>
  <c r="H254" i="17" s="1"/>
  <c r="H255" i="17" s="1"/>
  <c r="H256" i="17" s="1"/>
  <c r="H257" i="17" s="1"/>
  <c r="H258" i="17" s="1"/>
  <c r="H259" i="17" s="1"/>
  <c r="H260" i="17" s="1"/>
  <c r="H261" i="17" s="1"/>
  <c r="H262" i="17" s="1"/>
  <c r="H263" i="17" s="1"/>
  <c r="H264" i="17" s="1"/>
  <c r="H265" i="17" s="1"/>
  <c r="H266" i="17" s="1"/>
  <c r="H267" i="17" s="1"/>
  <c r="H268" i="17" s="1"/>
  <c r="H269" i="17" s="1"/>
  <c r="H270" i="17" s="1"/>
  <c r="H271" i="17" s="1"/>
  <c r="H272" i="17" s="1"/>
  <c r="H273" i="17" s="1"/>
  <c r="H274" i="17" s="1"/>
  <c r="H275" i="17" s="1"/>
  <c r="H276" i="17" s="1"/>
  <c r="H277" i="17" s="1"/>
  <c r="H278" i="17" s="1"/>
  <c r="H279" i="17" s="1"/>
  <c r="H280" i="17" s="1"/>
  <c r="H281" i="17" s="1"/>
  <c r="H282" i="17" s="1"/>
  <c r="H283" i="17" s="1"/>
  <c r="H284" i="17" s="1"/>
  <c r="H285" i="17" s="1"/>
  <c r="H286" i="17" s="1"/>
  <c r="H287" i="17" s="1"/>
  <c r="H288" i="17" s="1"/>
  <c r="H289" i="17" s="1"/>
  <c r="H290" i="17" s="1"/>
  <c r="H291" i="17" s="1"/>
  <c r="H292" i="17" s="1"/>
  <c r="H293" i="17" s="1"/>
  <c r="H294" i="17" s="1"/>
  <c r="H295" i="17" s="1"/>
  <c r="H296" i="17" s="1"/>
  <c r="H297" i="17" s="1"/>
  <c r="H298" i="17" s="1"/>
  <c r="H299" i="17" s="1"/>
  <c r="H300" i="17" s="1"/>
  <c r="H301" i="17" s="1"/>
  <c r="H302" i="17" s="1"/>
  <c r="H303" i="17" s="1"/>
  <c r="H304" i="17" s="1"/>
  <c r="H305" i="17" s="1"/>
  <c r="H306" i="17" s="1"/>
  <c r="H307" i="17" s="1"/>
  <c r="H308" i="17" s="1"/>
  <c r="H309" i="17" s="1"/>
  <c r="H310" i="17" s="1"/>
  <c r="H311" i="17" s="1"/>
  <c r="H312" i="17" s="1"/>
  <c r="H313" i="17" s="1"/>
  <c r="H314" i="17" s="1"/>
  <c r="H315" i="17" s="1"/>
  <c r="H316" i="17" s="1"/>
  <c r="H317" i="17" s="1"/>
  <c r="H318" i="17" s="1"/>
  <c r="H319" i="17" s="1"/>
  <c r="F23" i="20"/>
  <c r="I1578" i="18"/>
  <c r="I1593" i="18" s="1"/>
  <c r="H23" i="3"/>
  <c r="K25" i="3"/>
  <c r="F63" i="36"/>
  <c r="G63" i="36" s="1"/>
  <c r="G64" i="36" s="1"/>
  <c r="G51" i="36"/>
  <c r="E51" i="36"/>
  <c r="G55" i="36"/>
  <c r="E55" i="36"/>
  <c r="G53" i="36"/>
  <c r="E53" i="36"/>
  <c r="D465" i="18"/>
  <c r="F467" i="18" s="1"/>
  <c r="C93" i="17"/>
  <c r="C94" i="17" s="1"/>
  <c r="F22" i="20" s="1"/>
  <c r="I2073" i="18"/>
  <c r="I723" i="18"/>
  <c r="I53" i="3"/>
  <c r="G11" i="15" s="1"/>
  <c r="E69" i="15" s="1"/>
  <c r="I69" i="15" s="1"/>
  <c r="I70" i="15" s="1"/>
  <c r="I89" i="24"/>
  <c r="C40" i="24"/>
  <c r="C55" i="24" s="1"/>
  <c r="O55" i="3"/>
  <c r="B89" i="24" s="1"/>
  <c r="I61" i="3"/>
  <c r="I285" i="18"/>
  <c r="I55" i="3"/>
  <c r="I50" i="3"/>
  <c r="F47" i="3" s="1"/>
  <c r="H968" i="18"/>
  <c r="I1186" i="18"/>
  <c r="I1188" i="18" s="1"/>
  <c r="I1857" i="18"/>
  <c r="I1872" i="18" s="1"/>
  <c r="I1912" i="18"/>
  <c r="I1914" i="18" s="1"/>
  <c r="I47" i="3"/>
  <c r="I54" i="3"/>
  <c r="I59" i="3"/>
  <c r="C1196" i="18"/>
  <c r="G1690" i="18"/>
  <c r="I1447" i="18"/>
  <c r="G1448" i="18" s="1"/>
  <c r="G1449" i="18" s="1"/>
  <c r="I1626" i="18"/>
  <c r="H1628" i="18" s="1"/>
  <c r="I1628" i="18" s="1"/>
  <c r="I1689" i="18"/>
  <c r="I1746" i="18"/>
  <c r="I1762" i="18" s="1"/>
  <c r="I1793" i="18"/>
  <c r="I1806" i="18" s="1"/>
  <c r="I1907" i="18"/>
  <c r="I1921" i="18" s="1"/>
  <c r="I2100" i="18"/>
  <c r="I2114" i="18" s="1"/>
  <c r="H2181" i="18"/>
  <c r="H2030" i="18"/>
  <c r="H2106" i="18" s="1"/>
  <c r="I1701" i="18"/>
  <c r="I1969" i="18"/>
  <c r="H2026" i="18"/>
  <c r="I2026" i="18" s="1"/>
  <c r="I1700" i="18"/>
  <c r="I1583" i="18"/>
  <c r="H1847" i="18"/>
  <c r="I1847" i="18" s="1"/>
  <c r="I1690" i="18"/>
  <c r="I1522" i="18"/>
  <c r="I1540" i="18" s="1"/>
  <c r="I1686" i="18"/>
  <c r="I1685" i="18"/>
  <c r="I1962" i="18"/>
  <c r="G12" i="15"/>
  <c r="C74" i="15" s="1"/>
  <c r="G34" i="18"/>
  <c r="I34" i="18" s="1"/>
  <c r="G63" i="18"/>
  <c r="I63" i="18" s="1"/>
  <c r="G103" i="18"/>
  <c r="G118" i="18" s="1"/>
  <c r="G211" i="18"/>
  <c r="I211" i="18" s="1"/>
  <c r="F361" i="18"/>
  <c r="I361" i="18" s="1"/>
  <c r="F682" i="18"/>
  <c r="I682" i="18" s="1"/>
  <c r="H2011" i="18"/>
  <c r="I2011" i="18" s="1"/>
  <c r="G11" i="24"/>
  <c r="C82" i="24" s="1"/>
  <c r="G48" i="18"/>
  <c r="I48" i="18" s="1"/>
  <c r="G81" i="18"/>
  <c r="G176" i="18"/>
  <c r="I176" i="18" s="1"/>
  <c r="F345" i="18"/>
  <c r="F379" i="18"/>
  <c r="F394" i="18" s="1"/>
  <c r="F406" i="18" s="1"/>
  <c r="I406" i="18" s="1"/>
  <c r="H1953" i="18"/>
  <c r="I1953" i="18" s="1"/>
  <c r="G12" i="24"/>
  <c r="C86" i="24" s="1"/>
  <c r="G13" i="15"/>
  <c r="I51" i="3"/>
  <c r="I137" i="18"/>
  <c r="I1808" i="18"/>
  <c r="I58" i="3"/>
  <c r="I63" i="3"/>
  <c r="I339" i="18"/>
  <c r="I475" i="18"/>
  <c r="I46" i="3"/>
  <c r="I57" i="3"/>
  <c r="I62" i="3"/>
  <c r="I155" i="18"/>
  <c r="I156" i="18" s="1"/>
  <c r="I276" i="18"/>
  <c r="I286" i="18"/>
  <c r="I348" i="18"/>
  <c r="I357" i="18"/>
  <c r="I420" i="18"/>
  <c r="I421" i="18" s="1"/>
  <c r="I48" i="3"/>
  <c r="F49" i="3" s="1"/>
  <c r="I56" i="3"/>
  <c r="I145" i="18"/>
  <c r="I146" i="18" s="1"/>
  <c r="K23" i="20"/>
  <c r="H1952" i="18" s="1"/>
  <c r="I1952" i="18" s="1"/>
  <c r="D83" i="21"/>
  <c r="C83" i="21"/>
  <c r="L57" i="17"/>
  <c r="C47" i="15"/>
  <c r="D47" i="15"/>
  <c r="E47" i="15"/>
  <c r="E83" i="21"/>
  <c r="I521" i="18"/>
  <c r="I1196" i="18"/>
  <c r="I688" i="18"/>
  <c r="I111" i="18"/>
  <c r="I2058" i="18"/>
  <c r="I1177" i="18"/>
  <c r="I7" i="31"/>
  <c r="G6" i="30"/>
  <c r="G10" i="30"/>
  <c r="C973" i="18"/>
  <c r="I1228" i="18"/>
  <c r="I1229" i="18" s="1"/>
  <c r="I1230" i="18" s="1"/>
  <c r="I1238" i="18"/>
  <c r="I82" i="18"/>
  <c r="I368" i="18"/>
  <c r="N111" i="3"/>
  <c r="O111" i="3" s="1"/>
  <c r="U114" i="3"/>
  <c r="U115" i="3" s="1"/>
  <c r="R111" i="3"/>
  <c r="S111" i="3" s="1"/>
  <c r="U113" i="3"/>
  <c r="G25" i="1"/>
  <c r="G21" i="1"/>
  <c r="F83" i="1" s="1"/>
  <c r="E8" i="3" s="1"/>
  <c r="F84" i="1" s="1"/>
  <c r="F86" i="1" s="1"/>
  <c r="F25" i="1"/>
  <c r="G151" i="1" s="1"/>
  <c r="F21" i="1"/>
  <c r="F10" i="1"/>
  <c r="E6" i="3"/>
  <c r="E10" i="1"/>
  <c r="B91" i="3"/>
  <c r="J16" i="25"/>
  <c r="H15" i="25"/>
  <c r="H17" i="25" s="1"/>
  <c r="H63" i="25" s="1"/>
  <c r="H62" i="25"/>
  <c r="H74" i="25" s="1"/>
  <c r="H14" i="25"/>
  <c r="H11" i="25"/>
  <c r="I22" i="18"/>
  <c r="I741" i="18"/>
  <c r="I742" i="18" s="1"/>
  <c r="I743" i="18" s="1"/>
  <c r="H958" i="18"/>
  <c r="H1021" i="18"/>
  <c r="H1029" i="18"/>
  <c r="H1037" i="18"/>
  <c r="C1072" i="18"/>
  <c r="I1072" i="18" s="1"/>
  <c r="I1081" i="18"/>
  <c r="I1176" i="18"/>
  <c r="C1187" i="18"/>
  <c r="I1187" i="18" s="1"/>
  <c r="C1216" i="18"/>
  <c r="E60" i="1"/>
  <c r="L130" i="3"/>
  <c r="E45" i="13"/>
  <c r="I536" i="18"/>
  <c r="I576" i="18"/>
  <c r="I578" i="18" s="1"/>
  <c r="I579" i="18" s="1"/>
  <c r="C591" i="18"/>
  <c r="I973" i="18"/>
  <c r="I975" i="18" s="1"/>
  <c r="I976" i="18" s="1"/>
  <c r="C1011" i="18"/>
  <c r="I1011" i="18" s="1"/>
  <c r="H1017" i="18"/>
  <c r="H1025" i="18"/>
  <c r="C1045" i="18"/>
  <c r="I1045" i="18" s="1"/>
  <c r="I1046" i="18" s="1"/>
  <c r="I1047" i="18" s="1"/>
  <c r="I1048" i="18" s="1"/>
  <c r="H1056" i="18"/>
  <c r="C1062" i="18"/>
  <c r="I1062" i="18" s="1"/>
  <c r="I1064" i="18" s="1"/>
  <c r="I1065" i="18" s="1"/>
  <c r="C1356" i="18"/>
  <c r="I1356" i="18" s="1"/>
  <c r="I1375" i="18"/>
  <c r="G1800" i="18"/>
  <c r="G1801" i="18" s="1"/>
  <c r="G1802" i="18" s="1"/>
  <c r="G172" i="2"/>
  <c r="E173" i="2"/>
  <c r="E168" i="2"/>
  <c r="E114" i="2"/>
  <c r="E101" i="2"/>
  <c r="F101" i="2" s="1"/>
  <c r="G101" i="2" s="1"/>
  <c r="E105" i="2"/>
  <c r="G105" i="2" s="1"/>
  <c r="E109" i="2"/>
  <c r="C93" i="24"/>
  <c r="D41" i="24"/>
  <c r="D42" i="24" s="1"/>
  <c r="D43" i="24" s="1"/>
  <c r="E41" i="24"/>
  <c r="D68" i="23"/>
  <c r="G140" i="23"/>
  <c r="D40" i="23"/>
  <c r="D41" i="23" s="1"/>
  <c r="D42" i="23" s="1"/>
  <c r="E62" i="23"/>
  <c r="E65" i="23" s="1"/>
  <c r="E68" i="23" s="1"/>
  <c r="E63" i="23"/>
  <c r="E71" i="23"/>
  <c r="G71" i="23" s="1"/>
  <c r="C76" i="23"/>
  <c r="E76" i="23"/>
  <c r="C78" i="23"/>
  <c r="E78" i="23"/>
  <c r="C79" i="23"/>
  <c r="E79" i="23"/>
  <c r="C80" i="23"/>
  <c r="E80" i="23"/>
  <c r="C81" i="23"/>
  <c r="E81" i="23"/>
  <c r="C82" i="23"/>
  <c r="E82" i="23"/>
  <c r="C83" i="23"/>
  <c r="E83" i="23"/>
  <c r="E84" i="23"/>
  <c r="E87" i="23" s="1"/>
  <c r="E85" i="23"/>
  <c r="C86" i="23"/>
  <c r="E86" i="23"/>
  <c r="E88" i="23"/>
  <c r="E89" i="23"/>
  <c r="C90" i="23"/>
  <c r="E90" i="23"/>
  <c r="C91" i="23"/>
  <c r="E91" i="23"/>
  <c r="C92" i="23"/>
  <c r="E92" i="23"/>
  <c r="C93" i="23"/>
  <c r="E93" i="23"/>
  <c r="E96" i="23" s="1"/>
  <c r="C94" i="23"/>
  <c r="E94" i="23"/>
  <c r="C95" i="23"/>
  <c r="E95" i="23"/>
  <c r="C96" i="23"/>
  <c r="C97" i="23"/>
  <c r="E97" i="23"/>
  <c r="C98" i="23"/>
  <c r="G98" i="23" s="1"/>
  <c r="G101" i="23"/>
  <c r="C103" i="23"/>
  <c r="E103" i="23"/>
  <c r="C105" i="23"/>
  <c r="E105" i="23"/>
  <c r="B107" i="23"/>
  <c r="D107" i="23"/>
  <c r="F107" i="23"/>
  <c r="B109" i="23"/>
  <c r="D109" i="23"/>
  <c r="F109" i="23"/>
  <c r="B111" i="23"/>
  <c r="D111" i="23"/>
  <c r="F111" i="23"/>
  <c r="B113" i="23"/>
  <c r="D113" i="23"/>
  <c r="F113" i="23"/>
  <c r="D121" i="23"/>
  <c r="G121" i="23" s="1"/>
  <c r="G122" i="23" s="1"/>
  <c r="G124" i="23"/>
  <c r="E134" i="23"/>
  <c r="D22" i="23"/>
  <c r="E40" i="23"/>
  <c r="E41" i="23" s="1"/>
  <c r="D70" i="23" s="1"/>
  <c r="E70" i="23" s="1"/>
  <c r="D76" i="23"/>
  <c r="D78" i="23"/>
  <c r="D79" i="23"/>
  <c r="D80" i="23"/>
  <c r="D81" i="23"/>
  <c r="D82" i="23"/>
  <c r="D83" i="23"/>
  <c r="D84" i="23"/>
  <c r="D87" i="23" s="1"/>
  <c r="D85" i="23"/>
  <c r="D86" i="23"/>
  <c r="D88" i="23"/>
  <c r="D89" i="23"/>
  <c r="D90" i="23"/>
  <c r="D91" i="23"/>
  <c r="D92" i="23"/>
  <c r="D93" i="23"/>
  <c r="D96" i="23" s="1"/>
  <c r="D94" i="23"/>
  <c r="D95" i="23"/>
  <c r="D97" i="23"/>
  <c r="B103" i="23"/>
  <c r="D103" i="23"/>
  <c r="F103" i="23"/>
  <c r="C107" i="23"/>
  <c r="E107" i="23"/>
  <c r="C109" i="23"/>
  <c r="E109" i="23"/>
  <c r="C111" i="23"/>
  <c r="E111" i="23"/>
  <c r="G118" i="23"/>
  <c r="G100" i="22"/>
  <c r="F100" i="22"/>
  <c r="G84" i="22"/>
  <c r="F85" i="22"/>
  <c r="G85" i="22" s="1"/>
  <c r="G78" i="22"/>
  <c r="I78" i="22" s="1"/>
  <c r="E51" i="22"/>
  <c r="E55" i="22" s="1"/>
  <c r="G55" i="22" s="1"/>
  <c r="D60" i="22"/>
  <c r="D64" i="22"/>
  <c r="D67" i="22"/>
  <c r="D70" i="22"/>
  <c r="D73" i="22"/>
  <c r="E79" i="22"/>
  <c r="D83" i="22"/>
  <c r="E91" i="22"/>
  <c r="E99" i="22"/>
  <c r="G99" i="22"/>
  <c r="G101" i="22" s="1"/>
  <c r="D52" i="22"/>
  <c r="E81" i="22"/>
  <c r="E93" i="22"/>
  <c r="E80" i="21"/>
  <c r="K227" i="21" s="1"/>
  <c r="G203" i="21"/>
  <c r="F70" i="21"/>
  <c r="E71" i="21"/>
  <c r="D71" i="21"/>
  <c r="D53" i="21"/>
  <c r="D104" i="21"/>
  <c r="E104" i="21" s="1"/>
  <c r="E99" i="21"/>
  <c r="G99" i="21" s="1"/>
  <c r="G100" i="21" s="1"/>
  <c r="D132" i="21"/>
  <c r="G182" i="21"/>
  <c r="G195" i="21"/>
  <c r="G205" i="21"/>
  <c r="G211" i="21" s="1"/>
  <c r="G8" i="21"/>
  <c r="L14" i="21" s="1"/>
  <c r="L15" i="21" s="1"/>
  <c r="L16" i="21" s="1"/>
  <c r="H49" i="21"/>
  <c r="F89" i="21"/>
  <c r="E95" i="21"/>
  <c r="G95" i="21" s="1"/>
  <c r="D96" i="21"/>
  <c r="E96" i="21" s="1"/>
  <c r="E130" i="21"/>
  <c r="E131" i="21"/>
  <c r="G131" i="21" s="1"/>
  <c r="E132" i="21"/>
  <c r="E133" i="21"/>
  <c r="E134" i="21"/>
  <c r="E135" i="21"/>
  <c r="E136" i="21"/>
  <c r="E137" i="21"/>
  <c r="E138" i="21"/>
  <c r="E139" i="21"/>
  <c r="E140" i="21"/>
  <c r="E141" i="21"/>
  <c r="E142" i="21"/>
  <c r="E143" i="21"/>
  <c r="E144" i="21"/>
  <c r="E145" i="21"/>
  <c r="E146" i="21"/>
  <c r="E147" i="21"/>
  <c r="E148" i="21"/>
  <c r="E149" i="21"/>
  <c r="E150" i="21"/>
  <c r="E151" i="21"/>
  <c r="E152" i="21"/>
  <c r="E153" i="21"/>
  <c r="E154" i="21"/>
  <c r="E155" i="21"/>
  <c r="E156" i="21"/>
  <c r="F189" i="21"/>
  <c r="G189" i="21" s="1"/>
  <c r="G190" i="21" s="1"/>
  <c r="F49" i="21"/>
  <c r="D130" i="21"/>
  <c r="G130" i="21" s="1"/>
  <c r="I16" i="18"/>
  <c r="I17" i="18" s="1"/>
  <c r="I428" i="18"/>
  <c r="I429" i="18" s="1"/>
  <c r="I460" i="18"/>
  <c r="I461" i="18" s="1"/>
  <c r="I507" i="18"/>
  <c r="I508" i="18" s="1"/>
  <c r="I537" i="18"/>
  <c r="I538" i="18" s="1"/>
  <c r="I553" i="18"/>
  <c r="I554" i="18" s="1"/>
  <c r="I585" i="18"/>
  <c r="I586" i="18" s="1"/>
  <c r="I633" i="18"/>
  <c r="I634" i="18" s="1"/>
  <c r="I649" i="18"/>
  <c r="I650" i="18" s="1"/>
  <c r="I658" i="18"/>
  <c r="I659" i="18" s="1"/>
  <c r="I705" i="18"/>
  <c r="I706" i="18" s="1"/>
  <c r="I57" i="18"/>
  <c r="I340" i="18"/>
  <c r="I412" i="18"/>
  <c r="I528" i="18"/>
  <c r="I544" i="18"/>
  <c r="I560" i="18"/>
  <c r="I569" i="18"/>
  <c r="I42" i="18"/>
  <c r="I41" i="18"/>
  <c r="G131" i="18"/>
  <c r="I131" i="18" s="1"/>
  <c r="I118" i="18"/>
  <c r="H324" i="18"/>
  <c r="I324" i="18" s="1"/>
  <c r="I322" i="18"/>
  <c r="I444" i="18"/>
  <c r="I445" i="18" s="1"/>
  <c r="I452" i="18"/>
  <c r="I453" i="18" s="1"/>
  <c r="I491" i="18"/>
  <c r="I492" i="18" s="1"/>
  <c r="I499" i="18"/>
  <c r="I500" i="18" s="1"/>
  <c r="I522" i="18"/>
  <c r="I523" i="18" s="1"/>
  <c r="I734" i="18"/>
  <c r="I735" i="18" s="1"/>
  <c r="I70" i="18"/>
  <c r="I94" i="18"/>
  <c r="I240" i="18"/>
  <c r="I268" i="18"/>
  <c r="I297" i="18"/>
  <c r="I436" i="18"/>
  <c r="I476" i="18"/>
  <c r="I592" i="18"/>
  <c r="I626" i="18"/>
  <c r="I640" i="18"/>
  <c r="I993" i="18"/>
  <c r="I994" i="18" s="1"/>
  <c r="I713" i="18"/>
  <c r="I714" i="18" s="1"/>
  <c r="I1013" i="18"/>
  <c r="I1014" i="18" s="1"/>
  <c r="I1208" i="18"/>
  <c r="I1209" i="18" s="1"/>
  <c r="I10" i="18"/>
  <c r="I11" i="18" s="1"/>
  <c r="I23" i="18"/>
  <c r="H49" i="36" s="1"/>
  <c r="G178" i="18"/>
  <c r="G184" i="18"/>
  <c r="I219" i="18"/>
  <c r="I221" i="18" s="1"/>
  <c r="I228" i="18"/>
  <c r="I231" i="18" s="1"/>
  <c r="H229" i="18"/>
  <c r="H231" i="18" s="1"/>
  <c r="I230" i="18"/>
  <c r="I255" i="18"/>
  <c r="I258" i="18" s="1"/>
  <c r="I296" i="18"/>
  <c r="G310" i="18"/>
  <c r="I369" i="18"/>
  <c r="I380" i="18"/>
  <c r="I387" i="18" s="1"/>
  <c r="I396" i="18"/>
  <c r="I400" i="18" s="1"/>
  <c r="C467" i="18"/>
  <c r="C600" i="18"/>
  <c r="I600" i="18" s="1"/>
  <c r="I1971" i="18"/>
  <c r="H2028" i="18"/>
  <c r="I2028" i="18" s="1"/>
  <c r="H807" i="18"/>
  <c r="H747" i="18"/>
  <c r="H777" i="18" s="1"/>
  <c r="F804" i="18"/>
  <c r="F834" i="18" s="1"/>
  <c r="I1002" i="18"/>
  <c r="I1003" i="18" s="1"/>
  <c r="I1004" i="18" s="1"/>
  <c r="C1101" i="18"/>
  <c r="I1101" i="18" s="1"/>
  <c r="I1091" i="18"/>
  <c r="I1178" i="18"/>
  <c r="I1179" i="18" s="1"/>
  <c r="I1198" i="18"/>
  <c r="I1199" i="18" s="1"/>
  <c r="I103" i="18"/>
  <c r="I275" i="18"/>
  <c r="I277" i="18" s="1"/>
  <c r="G282" i="18" s="1"/>
  <c r="I282" i="18" s="1"/>
  <c r="I309" i="18"/>
  <c r="I331" i="18"/>
  <c r="I332" i="18" s="1"/>
  <c r="C466" i="18"/>
  <c r="C599" i="18"/>
  <c r="I609" i="18"/>
  <c r="I618" i="18"/>
  <c r="I619" i="18" s="1"/>
  <c r="I667" i="18"/>
  <c r="I668" i="18" s="1"/>
  <c r="I695" i="18"/>
  <c r="I773" i="18"/>
  <c r="I803" i="18"/>
  <c r="I955" i="18"/>
  <c r="C981" i="18"/>
  <c r="H1038" i="18"/>
  <c r="H1036" i="18"/>
  <c r="H1034" i="18"/>
  <c r="H1032" i="18"/>
  <c r="H1030" i="18"/>
  <c r="H1028" i="18"/>
  <c r="H1026" i="18"/>
  <c r="H1024" i="18"/>
  <c r="H1022" i="18"/>
  <c r="H1020" i="18"/>
  <c r="H1018" i="18"/>
  <c r="I1093" i="18"/>
  <c r="I1090" i="18"/>
  <c r="I1103" i="18"/>
  <c r="I1100" i="18"/>
  <c r="I1239" i="18"/>
  <c r="I1240" i="18" s="1"/>
  <c r="I1455" i="18"/>
  <c r="I1456" i="18" s="1"/>
  <c r="C982" i="18"/>
  <c r="H1019" i="18"/>
  <c r="H1023" i="18"/>
  <c r="H1027" i="18"/>
  <c r="H1031" i="18"/>
  <c r="H1035" i="18"/>
  <c r="H1039" i="18"/>
  <c r="H1052" i="18"/>
  <c r="I1129" i="18"/>
  <c r="I1197" i="18"/>
  <c r="I1216" i="18"/>
  <c r="C1217" i="18"/>
  <c r="I1246" i="18"/>
  <c r="I1256" i="18"/>
  <c r="I1374" i="18"/>
  <c r="I2021" i="18"/>
  <c r="I2038" i="18" s="1"/>
  <c r="H1585" i="18"/>
  <c r="I1532" i="18"/>
  <c r="I2030" i="18"/>
  <c r="I954" i="18"/>
  <c r="I964" i="18"/>
  <c r="H1055" i="18"/>
  <c r="H1054" i="18"/>
  <c r="I1063" i="18"/>
  <c r="I1074" i="18"/>
  <c r="I1075" i="18" s="1"/>
  <c r="I1076" i="18" s="1"/>
  <c r="I1082" i="18"/>
  <c r="I1121" i="18"/>
  <c r="I1122" i="18" s="1"/>
  <c r="I1123" i="18" s="1"/>
  <c r="I1207" i="18"/>
  <c r="G1374" i="18"/>
  <c r="G1375" i="18"/>
  <c r="H1627" i="18"/>
  <c r="I1627" i="18" s="1"/>
  <c r="I1864" i="18"/>
  <c r="H1973" i="18"/>
  <c r="H1584" i="18"/>
  <c r="I1531" i="18"/>
  <c r="H1051" i="18"/>
  <c r="H1053" i="18"/>
  <c r="I1316" i="18"/>
  <c r="I1438" i="18"/>
  <c r="I1454" i="18" s="1"/>
  <c r="I1698" i="18"/>
  <c r="I1963" i="18"/>
  <c r="G87" i="17"/>
  <c r="G90" i="17"/>
  <c r="G86" i="17"/>
  <c r="G88" i="17"/>
  <c r="G89" i="17"/>
  <c r="E71" i="16"/>
  <c r="E73" i="16" s="1"/>
  <c r="E72" i="16"/>
  <c r="C85" i="15"/>
  <c r="C78" i="15"/>
  <c r="F207" i="14"/>
  <c r="G207" i="14" s="1"/>
  <c r="H207" i="14" s="1"/>
  <c r="J110" i="14" s="1"/>
  <c r="N74" i="3" s="1"/>
  <c r="F205" i="14"/>
  <c r="G205" i="14" s="1"/>
  <c r="F203" i="14"/>
  <c r="G203" i="14" s="1"/>
  <c r="H203" i="14" s="1"/>
  <c r="J106" i="14" s="1"/>
  <c r="N70" i="3" s="1"/>
  <c r="F201" i="14"/>
  <c r="G201" i="14" s="1"/>
  <c r="F193" i="14"/>
  <c r="G193" i="14" s="1"/>
  <c r="H193" i="14" s="1"/>
  <c r="F114" i="14" s="1"/>
  <c r="J78" i="3" s="1"/>
  <c r="F191" i="14"/>
  <c r="G191" i="14" s="1"/>
  <c r="F189" i="14"/>
  <c r="G189" i="14" s="1"/>
  <c r="H189" i="14" s="1"/>
  <c r="F110" i="14" s="1"/>
  <c r="J74" i="3" s="1"/>
  <c r="F187" i="14"/>
  <c r="G187" i="14" s="1"/>
  <c r="F185" i="14"/>
  <c r="G185" i="14" s="1"/>
  <c r="H185" i="14" s="1"/>
  <c r="F106" i="14" s="1"/>
  <c r="J70" i="3" s="1"/>
  <c r="L28" i="3" s="1"/>
  <c r="F183" i="14"/>
  <c r="G183" i="14" s="1"/>
  <c r="F173" i="14"/>
  <c r="G173" i="14" s="1"/>
  <c r="H173" i="14" s="1"/>
  <c r="I114" i="14" s="1"/>
  <c r="I78" i="3" s="1"/>
  <c r="F171" i="14"/>
  <c r="G171" i="14" s="1"/>
  <c r="F169" i="14"/>
  <c r="G169" i="14" s="1"/>
  <c r="H169" i="14" s="1"/>
  <c r="I110" i="14" s="1"/>
  <c r="I74" i="3" s="1"/>
  <c r="F167" i="14"/>
  <c r="G167" i="14" s="1"/>
  <c r="F165" i="14"/>
  <c r="G165" i="14" s="1"/>
  <c r="H165" i="14" s="1"/>
  <c r="I106" i="14" s="1"/>
  <c r="I70" i="3" s="1"/>
  <c r="L29" i="3" s="1"/>
  <c r="F163" i="14"/>
  <c r="G163" i="14" s="1"/>
  <c r="F153" i="14"/>
  <c r="G153" i="14" s="1"/>
  <c r="H153" i="14" s="1"/>
  <c r="F151" i="14"/>
  <c r="G151" i="14" s="1"/>
  <c r="F149" i="14"/>
  <c r="G149" i="14" s="1"/>
  <c r="H149" i="14" s="1"/>
  <c r="F147" i="14"/>
  <c r="G147" i="14" s="1"/>
  <c r="F145" i="14"/>
  <c r="G145" i="14" s="1"/>
  <c r="H145" i="14" s="1"/>
  <c r="F143" i="14"/>
  <c r="G143" i="14" s="1"/>
  <c r="F135" i="14"/>
  <c r="G135" i="14" s="1"/>
  <c r="H135" i="14" s="1"/>
  <c r="G114" i="14" s="1"/>
  <c r="L78" i="3" s="1"/>
  <c r="F133" i="14"/>
  <c r="G133" i="14" s="1"/>
  <c r="F131" i="14"/>
  <c r="G131" i="14" s="1"/>
  <c r="H131" i="14" s="1"/>
  <c r="G110" i="14" s="1"/>
  <c r="L74" i="3" s="1"/>
  <c r="F129" i="14"/>
  <c r="G129" i="14" s="1"/>
  <c r="F127" i="14"/>
  <c r="G127" i="14" s="1"/>
  <c r="H127" i="14" s="1"/>
  <c r="G106" i="14" s="1"/>
  <c r="L70" i="3" s="1"/>
  <c r="F125" i="14"/>
  <c r="G125" i="14" s="1"/>
  <c r="F208" i="14"/>
  <c r="G208" i="14" s="1"/>
  <c r="F206" i="14"/>
  <c r="G206" i="14" s="1"/>
  <c r="F204" i="14"/>
  <c r="G204" i="14" s="1"/>
  <c r="F202" i="14"/>
  <c r="G202" i="14" s="1"/>
  <c r="F200" i="14"/>
  <c r="G200" i="14" s="1"/>
  <c r="F192" i="14"/>
  <c r="G192" i="14" s="1"/>
  <c r="F190" i="14"/>
  <c r="G190" i="14" s="1"/>
  <c r="F188" i="14"/>
  <c r="G188" i="14" s="1"/>
  <c r="F186" i="14"/>
  <c r="G186" i="14" s="1"/>
  <c r="F184" i="14"/>
  <c r="G184" i="14" s="1"/>
  <c r="F182" i="14"/>
  <c r="G182" i="14" s="1"/>
  <c r="F172" i="14"/>
  <c r="G172" i="14" s="1"/>
  <c r="F170" i="14"/>
  <c r="G170" i="14" s="1"/>
  <c r="F168" i="14"/>
  <c r="G168" i="14" s="1"/>
  <c r="F166" i="14"/>
  <c r="G166" i="14" s="1"/>
  <c r="F164" i="14"/>
  <c r="G164" i="14" s="1"/>
  <c r="F162" i="14"/>
  <c r="G162" i="14" s="1"/>
  <c r="F152" i="14"/>
  <c r="G152" i="14" s="1"/>
  <c r="F150" i="14"/>
  <c r="G150" i="14" s="1"/>
  <c r="F148" i="14"/>
  <c r="G148" i="14" s="1"/>
  <c r="F146" i="14"/>
  <c r="G146" i="14" s="1"/>
  <c r="F144" i="14"/>
  <c r="G144" i="14" s="1"/>
  <c r="F142" i="14"/>
  <c r="G142" i="14" s="1"/>
  <c r="F134" i="14"/>
  <c r="G134" i="14" s="1"/>
  <c r="F132" i="14"/>
  <c r="G132" i="14" s="1"/>
  <c r="F130" i="14"/>
  <c r="G130" i="14" s="1"/>
  <c r="F128" i="14"/>
  <c r="G128" i="14" s="1"/>
  <c r="F126" i="14"/>
  <c r="G126" i="14" s="1"/>
  <c r="F124" i="14"/>
  <c r="G124" i="14" s="1"/>
  <c r="H15" i="14"/>
  <c r="G16" i="14"/>
  <c r="G18" i="14"/>
  <c r="G20" i="14"/>
  <c r="G22" i="14"/>
  <c r="G24" i="14"/>
  <c r="G26" i="14"/>
  <c r="G34" i="14"/>
  <c r="G36" i="14"/>
  <c r="H209" i="14"/>
  <c r="H205" i="14"/>
  <c r="J108" i="14" s="1"/>
  <c r="N72" i="3" s="1"/>
  <c r="H201" i="14"/>
  <c r="J104" i="14" s="1"/>
  <c r="N68" i="3" s="1"/>
  <c r="H191" i="14"/>
  <c r="F112" i="14" s="1"/>
  <c r="J76" i="3" s="1"/>
  <c r="H187" i="14"/>
  <c r="F108" i="14" s="1"/>
  <c r="J72" i="3" s="1"/>
  <c r="H183" i="14"/>
  <c r="F104" i="14" s="1"/>
  <c r="J68" i="3" s="1"/>
  <c r="H171" i="14"/>
  <c r="I112" i="14" s="1"/>
  <c r="I76" i="3" s="1"/>
  <c r="H167" i="14"/>
  <c r="I108" i="14" s="1"/>
  <c r="I72" i="3" s="1"/>
  <c r="H163" i="14"/>
  <c r="I104" i="14" s="1"/>
  <c r="I68" i="3" s="1"/>
  <c r="H151" i="14"/>
  <c r="H147" i="14"/>
  <c r="H143" i="14"/>
  <c r="H133" i="14"/>
  <c r="G112" i="14" s="1"/>
  <c r="L76" i="3" s="1"/>
  <c r="H129" i="14"/>
  <c r="G108" i="14" s="1"/>
  <c r="L72" i="3" s="1"/>
  <c r="H125" i="14"/>
  <c r="G104" i="14" s="1"/>
  <c r="L68" i="3" s="1"/>
  <c r="H210" i="14"/>
  <c r="H208" i="14"/>
  <c r="J111" i="14" s="1"/>
  <c r="N75" i="3" s="1"/>
  <c r="H206" i="14"/>
  <c r="J109" i="14" s="1"/>
  <c r="N73" i="3" s="1"/>
  <c r="H204" i="14"/>
  <c r="J107" i="14" s="1"/>
  <c r="N71" i="3" s="1"/>
  <c r="H202" i="14"/>
  <c r="J105" i="14" s="1"/>
  <c r="N69" i="3" s="1"/>
  <c r="H200" i="14"/>
  <c r="J103" i="14" s="1"/>
  <c r="N67" i="3" s="1"/>
  <c r="H192" i="14"/>
  <c r="F113" i="14" s="1"/>
  <c r="J77" i="3" s="1"/>
  <c r="H190" i="14"/>
  <c r="F111" i="14" s="1"/>
  <c r="J75" i="3" s="1"/>
  <c r="H188" i="14"/>
  <c r="F109" i="14" s="1"/>
  <c r="J73" i="3" s="1"/>
  <c r="H186" i="14"/>
  <c r="F107" i="14" s="1"/>
  <c r="J71" i="3" s="1"/>
  <c r="H184" i="14"/>
  <c r="F105" i="14" s="1"/>
  <c r="J69" i="3" s="1"/>
  <c r="H182" i="14"/>
  <c r="F103" i="14" s="1"/>
  <c r="J67" i="3" s="1"/>
  <c r="H172" i="14"/>
  <c r="I113" i="14" s="1"/>
  <c r="I77" i="3" s="1"/>
  <c r="H170" i="14"/>
  <c r="I111" i="14" s="1"/>
  <c r="I75" i="3" s="1"/>
  <c r="H168" i="14"/>
  <c r="I109" i="14" s="1"/>
  <c r="I73" i="3" s="1"/>
  <c r="H166" i="14"/>
  <c r="I107" i="14" s="1"/>
  <c r="I71" i="3" s="1"/>
  <c r="H164" i="14"/>
  <c r="I105" i="14" s="1"/>
  <c r="I69" i="3" s="1"/>
  <c r="H162" i="14"/>
  <c r="I103" i="14" s="1"/>
  <c r="I67" i="3" s="1"/>
  <c r="H152" i="14"/>
  <c r="H150" i="14"/>
  <c r="H148" i="14"/>
  <c r="H146" i="14"/>
  <c r="H144" i="14"/>
  <c r="H142" i="14"/>
  <c r="H134" i="14"/>
  <c r="G113" i="14" s="1"/>
  <c r="L77" i="3" s="1"/>
  <c r="H132" i="14"/>
  <c r="G111" i="14" s="1"/>
  <c r="L75" i="3" s="1"/>
  <c r="H130" i="14"/>
  <c r="G109" i="14" s="1"/>
  <c r="L73" i="3" s="1"/>
  <c r="H128" i="14"/>
  <c r="G107" i="14" s="1"/>
  <c r="L71" i="3" s="1"/>
  <c r="H126" i="14"/>
  <c r="G105" i="14" s="1"/>
  <c r="L69" i="3" s="1"/>
  <c r="H124" i="14"/>
  <c r="G103" i="14" s="1"/>
  <c r="L67" i="3" s="1"/>
  <c r="G15" i="14"/>
  <c r="I15" i="14" s="1"/>
  <c r="G17" i="14"/>
  <c r="G19" i="14"/>
  <c r="G21" i="14"/>
  <c r="G23" i="14"/>
  <c r="G25" i="14"/>
  <c r="G33" i="14"/>
  <c r="G35" i="14"/>
  <c r="G38" i="14"/>
  <c r="G40" i="14"/>
  <c r="G42" i="14"/>
  <c r="G44" i="14"/>
  <c r="G52" i="14"/>
  <c r="G54" i="14"/>
  <c r="G56" i="14"/>
  <c r="G58" i="14"/>
  <c r="G60" i="14"/>
  <c r="G62" i="14"/>
  <c r="G37" i="14"/>
  <c r="G39" i="14"/>
  <c r="G41" i="14"/>
  <c r="G43" i="14"/>
  <c r="G51" i="14"/>
  <c r="G53" i="14"/>
  <c r="G55" i="14"/>
  <c r="G57" i="14"/>
  <c r="G59" i="14"/>
  <c r="G61" i="14"/>
  <c r="E47" i="13"/>
  <c r="G53" i="13"/>
  <c r="E53" i="13"/>
  <c r="G64" i="13"/>
  <c r="D49" i="13"/>
  <c r="D51" i="13"/>
  <c r="D33" i="12"/>
  <c r="F43" i="12" s="1"/>
  <c r="D57" i="12"/>
  <c r="G57" i="12" s="1"/>
  <c r="E61" i="12"/>
  <c r="G61" i="12" s="1"/>
  <c r="F62" i="12"/>
  <c r="E66" i="12"/>
  <c r="G66" i="12" s="1"/>
  <c r="E30" i="12"/>
  <c r="D34" i="12"/>
  <c r="E59" i="12"/>
  <c r="E62" i="12"/>
  <c r="G64" i="11"/>
  <c r="G16" i="11"/>
  <c r="I16" i="11" s="1"/>
  <c r="H21" i="11"/>
  <c r="D37" i="11" s="1"/>
  <c r="D33" i="11"/>
  <c r="H33" i="11"/>
  <c r="D35" i="11"/>
  <c r="H35" i="11"/>
  <c r="H37" i="11"/>
  <c r="E77" i="11" s="1"/>
  <c r="D40" i="11"/>
  <c r="F55" i="11"/>
  <c r="D100" i="11" s="1"/>
  <c r="G100" i="11" s="1"/>
  <c r="E67" i="11"/>
  <c r="E72" i="11"/>
  <c r="E83" i="11"/>
  <c r="G83" i="11" s="1"/>
  <c r="D86" i="11"/>
  <c r="D93" i="11"/>
  <c r="G93" i="11" s="1"/>
  <c r="G94" i="11" s="1"/>
  <c r="J12" i="11"/>
  <c r="D21" i="11"/>
  <c r="D23" i="11" s="1"/>
  <c r="J33" i="11"/>
  <c r="F35" i="11"/>
  <c r="D98" i="11" s="1"/>
  <c r="G98" i="11" s="1"/>
  <c r="J35" i="11"/>
  <c r="J37" i="11"/>
  <c r="F77" i="11" s="1"/>
  <c r="G77" i="11" s="1"/>
  <c r="F15" i="10"/>
  <c r="C19" i="10"/>
  <c r="E33" i="3" s="1"/>
  <c r="D480" i="18" s="1"/>
  <c r="C482" i="18" s="1"/>
  <c r="I482" i="18" s="1"/>
  <c r="I483" i="18" s="1"/>
  <c r="I484" i="18" s="1"/>
  <c r="D32" i="10"/>
  <c r="E59" i="10"/>
  <c r="F65" i="10"/>
  <c r="F68" i="10"/>
  <c r="D31" i="10"/>
  <c r="D49" i="10"/>
  <c r="F57" i="10"/>
  <c r="F64" i="10"/>
  <c r="E65" i="10"/>
  <c r="G65" i="10" s="1"/>
  <c r="F65" i="9"/>
  <c r="G65" i="9" s="1"/>
  <c r="E54" i="9"/>
  <c r="D36" i="9"/>
  <c r="D54" i="9"/>
  <c r="D56" i="9" s="1"/>
  <c r="D58" i="9" s="1"/>
  <c r="D60" i="9"/>
  <c r="E64" i="9"/>
  <c r="F64" i="9" s="1"/>
  <c r="G64" i="9" s="1"/>
  <c r="E66" i="9"/>
  <c r="G66" i="9" s="1"/>
  <c r="E69" i="9"/>
  <c r="G69" i="9" s="1"/>
  <c r="F71" i="9"/>
  <c r="G71" i="9" s="1"/>
  <c r="E30" i="9"/>
  <c r="D37" i="9"/>
  <c r="E60" i="9"/>
  <c r="E62" i="9"/>
  <c r="F66" i="9"/>
  <c r="G14" i="8"/>
  <c r="D62" i="7"/>
  <c r="G62" i="7" s="1"/>
  <c r="D66" i="7"/>
  <c r="G66" i="7" s="1"/>
  <c r="D70" i="7"/>
  <c r="G70" i="7" s="1"/>
  <c r="D74" i="7"/>
  <c r="G74" i="7" s="1"/>
  <c r="D76" i="7"/>
  <c r="G76" i="7" s="1"/>
  <c r="G60" i="7"/>
  <c r="G133" i="7" s="1"/>
  <c r="D64" i="7"/>
  <c r="G64" i="7" s="1"/>
  <c r="D68" i="7"/>
  <c r="G68" i="7" s="1"/>
  <c r="D72" i="7"/>
  <c r="G72" i="7" s="1"/>
  <c r="G119" i="6"/>
  <c r="G107" i="6"/>
  <c r="G48" i="6"/>
  <c r="C56" i="6"/>
  <c r="C53" i="6"/>
  <c r="G53" i="6"/>
  <c r="G66" i="6"/>
  <c r="J16" i="6"/>
  <c r="G42" i="6"/>
  <c r="G43" i="6"/>
  <c r="C45" i="6"/>
  <c r="G45" i="6" s="1"/>
  <c r="C49" i="6"/>
  <c r="G49" i="6" s="1"/>
  <c r="D56" i="6"/>
  <c r="G65" i="6"/>
  <c r="C69" i="6"/>
  <c r="C70" i="6" s="1"/>
  <c r="G70" i="6" s="1"/>
  <c r="E87" i="6"/>
  <c r="G50" i="6"/>
  <c r="C54" i="6"/>
  <c r="G54" i="6" s="1"/>
  <c r="F87" i="6"/>
  <c r="G87" i="6" s="1"/>
  <c r="D56" i="5"/>
  <c r="E54" i="5"/>
  <c r="E55" i="5" s="1"/>
  <c r="E56" i="5" s="1"/>
  <c r="D60" i="5"/>
  <c r="D62" i="5"/>
  <c r="D64" i="5"/>
  <c r="G64" i="5" s="1"/>
  <c r="D66" i="5"/>
  <c r="F66" i="5"/>
  <c r="E75" i="5"/>
  <c r="E81" i="5"/>
  <c r="E58" i="5"/>
  <c r="G58" i="5" s="1"/>
  <c r="E67" i="5"/>
  <c r="E85" i="5"/>
  <c r="G85" i="5" s="1"/>
  <c r="G89" i="5" s="1"/>
  <c r="G91" i="5" s="1"/>
  <c r="G92" i="4"/>
  <c r="D55" i="4"/>
  <c r="E62" i="4"/>
  <c r="G62" i="4" s="1"/>
  <c r="E91" i="4"/>
  <c r="G91" i="4" s="1"/>
  <c r="G95" i="4" s="1"/>
  <c r="G97" i="4" s="1"/>
  <c r="E21" i="4"/>
  <c r="D65" i="4"/>
  <c r="D68" i="4"/>
  <c r="D70" i="4"/>
  <c r="G70" i="4" s="1"/>
  <c r="D72" i="4"/>
  <c r="E83" i="4"/>
  <c r="I15" i="3"/>
  <c r="F46" i="13" s="1"/>
  <c r="G46" i="13" s="1"/>
  <c r="D94" i="3"/>
  <c r="D95" i="3" s="1"/>
  <c r="D97" i="3" s="1"/>
  <c r="D100" i="3" s="1"/>
  <c r="D102" i="3" s="1"/>
  <c r="I23" i="3"/>
  <c r="I33" i="3"/>
  <c r="I40" i="3"/>
  <c r="B47" i="3"/>
  <c r="C47" i="3" s="1"/>
  <c r="F48" i="3"/>
  <c r="F46" i="3"/>
  <c r="M111" i="3"/>
  <c r="C130" i="3"/>
  <c r="C144" i="3"/>
  <c r="D160" i="3"/>
  <c r="F174" i="2"/>
  <c r="G174" i="2" s="1"/>
  <c r="F228" i="2"/>
  <c r="G228" i="2" s="1"/>
  <c r="F115" i="2"/>
  <c r="G115" i="2" s="1"/>
  <c r="E15" i="2"/>
  <c r="E29" i="2"/>
  <c r="G42" i="2"/>
  <c r="E59" i="2"/>
  <c r="F109" i="2"/>
  <c r="G109" i="2" s="1"/>
  <c r="G111" i="2" s="1"/>
  <c r="F114" i="2"/>
  <c r="G114" i="2" s="1"/>
  <c r="E142" i="2"/>
  <c r="F168" i="2"/>
  <c r="G168" i="2" s="1"/>
  <c r="G170" i="2" s="1"/>
  <c r="F173" i="2"/>
  <c r="G173" i="2" s="1"/>
  <c r="E214" i="2"/>
  <c r="F214" i="2" s="1"/>
  <c r="G214" i="2" s="1"/>
  <c r="E218" i="2"/>
  <c r="G218" i="2" s="1"/>
  <c r="E222" i="2"/>
  <c r="E227" i="2"/>
  <c r="F222" i="2"/>
  <c r="I153" i="1"/>
  <c r="F153" i="1"/>
  <c r="E69" i="1"/>
  <c r="H69" i="1"/>
  <c r="G43" i="1"/>
  <c r="H68" i="1"/>
  <c r="D90" i="1"/>
  <c r="F24" i="1"/>
  <c r="E61" i="1" s="1"/>
  <c r="E68" i="1"/>
  <c r="F76" i="1"/>
  <c r="G91" i="1"/>
  <c r="G93" i="1" s="1"/>
  <c r="D98" i="1"/>
  <c r="G99" i="1" s="1"/>
  <c r="G157" i="1"/>
  <c r="I42" i="2" l="1"/>
  <c r="G31" i="2" s="1"/>
  <c r="G56" i="6"/>
  <c r="G60" i="9"/>
  <c r="I379" i="18"/>
  <c r="C141" i="23"/>
  <c r="G141" i="23" s="1"/>
  <c r="F40" i="24"/>
  <c r="F55" i="24" s="1"/>
  <c r="G1337" i="18"/>
  <c r="I1337" i="18" s="1"/>
  <c r="I1338" i="18" s="1"/>
  <c r="I1339" i="18" s="1"/>
  <c r="F1317" i="18"/>
  <c r="F1277" i="18"/>
  <c r="I1277" i="18" s="1"/>
  <c r="G1357" i="18"/>
  <c r="F1376" i="18" s="1"/>
  <c r="H1376" i="18" s="1"/>
  <c r="B210" i="17"/>
  <c r="B211" i="17" s="1"/>
  <c r="H34" i="3"/>
  <c r="F49" i="10"/>
  <c r="C161" i="3"/>
  <c r="F51" i="22"/>
  <c r="G51" i="22" s="1"/>
  <c r="L112" i="3"/>
  <c r="F55" i="4"/>
  <c r="E70" i="10"/>
  <c r="G70" i="10" s="1"/>
  <c r="D1628" i="18"/>
  <c r="I1376" i="18"/>
  <c r="I394" i="18"/>
  <c r="E42" i="23"/>
  <c r="I1083" i="18"/>
  <c r="I1084" i="18" s="1"/>
  <c r="E93" i="17"/>
  <c r="E94" i="17" s="1"/>
  <c r="E95" i="17" s="1"/>
  <c r="E96" i="17" s="1"/>
  <c r="E97" i="17" s="1"/>
  <c r="E98" i="17" s="1"/>
  <c r="E99" i="17" s="1"/>
  <c r="E100" i="17" s="1"/>
  <c r="E101" i="17" s="1"/>
  <c r="E102" i="17" s="1"/>
  <c r="E103" i="17" s="1"/>
  <c r="E104" i="17" s="1"/>
  <c r="E105" i="17" s="1"/>
  <c r="E106" i="17" s="1"/>
  <c r="E107" i="17" s="1"/>
  <c r="E108" i="17" s="1"/>
  <c r="E109" i="17" s="1"/>
  <c r="E110" i="17" s="1"/>
  <c r="E111" i="17" s="1"/>
  <c r="E112" i="17" s="1"/>
  <c r="E113" i="17" s="1"/>
  <c r="E114" i="17" s="1"/>
  <c r="E115" i="17" s="1"/>
  <c r="E116" i="17" s="1"/>
  <c r="E117" i="17" s="1"/>
  <c r="E118" i="17" s="1"/>
  <c r="E119" i="17" s="1"/>
  <c r="E120" i="17" s="1"/>
  <c r="E121" i="17" s="1"/>
  <c r="E122" i="17" s="1"/>
  <c r="E123" i="17" s="1"/>
  <c r="E124" i="17" s="1"/>
  <c r="E125" i="17" s="1"/>
  <c r="E126" i="17" s="1"/>
  <c r="E127" i="17" s="1"/>
  <c r="E128" i="17" s="1"/>
  <c r="E129" i="17" s="1"/>
  <c r="E130" i="17" s="1"/>
  <c r="E131" i="17" s="1"/>
  <c r="E132" i="17" s="1"/>
  <c r="E133" i="17" s="1"/>
  <c r="E134" i="17" s="1"/>
  <c r="E135" i="17" s="1"/>
  <c r="E136" i="17" s="1"/>
  <c r="E137" i="17" s="1"/>
  <c r="E138" i="17" s="1"/>
  <c r="E139" i="17" s="1"/>
  <c r="E140" i="17" s="1"/>
  <c r="E141" i="17" s="1"/>
  <c r="E142" i="17" s="1"/>
  <c r="E143" i="17" s="1"/>
  <c r="E144" i="17" s="1"/>
  <c r="E145" i="17" s="1"/>
  <c r="E146" i="17" s="1"/>
  <c r="E147" i="17" s="1"/>
  <c r="E148" i="17" s="1"/>
  <c r="E149" i="17" s="1"/>
  <c r="E150" i="17" s="1"/>
  <c r="E151" i="17" s="1"/>
  <c r="E152" i="17" s="1"/>
  <c r="E153" i="17" s="1"/>
  <c r="E154" i="17" s="1"/>
  <c r="E155" i="17" s="1"/>
  <c r="E156" i="17" s="1"/>
  <c r="E157" i="17" s="1"/>
  <c r="E158" i="17" s="1"/>
  <c r="E159" i="17" s="1"/>
  <c r="E160" i="17" s="1"/>
  <c r="E161" i="17" s="1"/>
  <c r="E162" i="17" s="1"/>
  <c r="E163" i="17" s="1"/>
  <c r="E164" i="17" s="1"/>
  <c r="E165" i="17" s="1"/>
  <c r="E166" i="17" s="1"/>
  <c r="E167" i="17" s="1"/>
  <c r="E168" i="17" s="1"/>
  <c r="E169" i="17" s="1"/>
  <c r="E170" i="17" s="1"/>
  <c r="E171" i="17" s="1"/>
  <c r="E172" i="17" s="1"/>
  <c r="E173" i="17" s="1"/>
  <c r="E174" i="17" s="1"/>
  <c r="E175" i="17" s="1"/>
  <c r="E176" i="17" s="1"/>
  <c r="E177" i="17" s="1"/>
  <c r="E178" i="17" s="1"/>
  <c r="E179" i="17" s="1"/>
  <c r="E180" i="17" s="1"/>
  <c r="E181" i="17" s="1"/>
  <c r="E182" i="17" s="1"/>
  <c r="E183" i="17" s="1"/>
  <c r="E184" i="17" s="1"/>
  <c r="E185" i="17" s="1"/>
  <c r="E186" i="17" s="1"/>
  <c r="E187" i="17" s="1"/>
  <c r="E188" i="17" s="1"/>
  <c r="E189" i="17" s="1"/>
  <c r="E190" i="17" s="1"/>
  <c r="E191" i="17" s="1"/>
  <c r="E192" i="17" s="1"/>
  <c r="E193" i="17" s="1"/>
  <c r="E194" i="17" s="1"/>
  <c r="E195" i="17" s="1"/>
  <c r="E196" i="17" s="1"/>
  <c r="E197" i="17" s="1"/>
  <c r="E198" i="17" s="1"/>
  <c r="E199" i="17" s="1"/>
  <c r="E200" i="17" s="1"/>
  <c r="E201" i="17" s="1"/>
  <c r="E202" i="17" s="1"/>
  <c r="E203" i="17" s="1"/>
  <c r="E204" i="17" s="1"/>
  <c r="E205" i="17" s="1"/>
  <c r="E206" i="17" s="1"/>
  <c r="E207" i="17" s="1"/>
  <c r="E208" i="17" s="1"/>
  <c r="E209" i="17" s="1"/>
  <c r="E210" i="17" s="1"/>
  <c r="E211" i="17" s="1"/>
  <c r="E212" i="17" s="1"/>
  <c r="E213" i="17" s="1"/>
  <c r="E214" i="17" s="1"/>
  <c r="E215" i="17" s="1"/>
  <c r="E216" i="17" s="1"/>
  <c r="E217" i="17" s="1"/>
  <c r="E218" i="17" s="1"/>
  <c r="E219" i="17" s="1"/>
  <c r="E220" i="17" s="1"/>
  <c r="E221" i="17" s="1"/>
  <c r="E222" i="17" s="1"/>
  <c r="E223" i="17" s="1"/>
  <c r="E224" i="17" s="1"/>
  <c r="E225" i="17" s="1"/>
  <c r="E226" i="17" s="1"/>
  <c r="E227" i="17" s="1"/>
  <c r="E228" i="17" s="1"/>
  <c r="E229" i="17" s="1"/>
  <c r="E230" i="17" s="1"/>
  <c r="E231" i="17" s="1"/>
  <c r="E232" i="17" s="1"/>
  <c r="E233" i="17" s="1"/>
  <c r="E234" i="17" s="1"/>
  <c r="E235" i="17" s="1"/>
  <c r="E236" i="17" s="1"/>
  <c r="E237" i="17" s="1"/>
  <c r="E238" i="17" s="1"/>
  <c r="E239" i="17" s="1"/>
  <c r="E240" i="17" s="1"/>
  <c r="E241" i="17" s="1"/>
  <c r="E242" i="17" s="1"/>
  <c r="E243" i="17" s="1"/>
  <c r="E244" i="17" s="1"/>
  <c r="E245" i="17" s="1"/>
  <c r="E246" i="17" s="1"/>
  <c r="E247" i="17" s="1"/>
  <c r="E248" i="17" s="1"/>
  <c r="E249" i="17" s="1"/>
  <c r="E250" i="17" s="1"/>
  <c r="E251" i="17" s="1"/>
  <c r="E252" i="17" s="1"/>
  <c r="E253" i="17" s="1"/>
  <c r="E254" i="17" s="1"/>
  <c r="E255" i="17" s="1"/>
  <c r="E256" i="17" s="1"/>
  <c r="E257" i="17" s="1"/>
  <c r="E258" i="17" s="1"/>
  <c r="E259" i="17" s="1"/>
  <c r="E260" i="17" s="1"/>
  <c r="E261" i="17" s="1"/>
  <c r="E262" i="17" s="1"/>
  <c r="E263" i="17" s="1"/>
  <c r="E264" i="17" s="1"/>
  <c r="E265" i="17" s="1"/>
  <c r="E266" i="17" s="1"/>
  <c r="E267" i="17" s="1"/>
  <c r="E268" i="17" s="1"/>
  <c r="E269" i="17" s="1"/>
  <c r="E270" i="17" s="1"/>
  <c r="E271" i="17" s="1"/>
  <c r="E272" i="17" s="1"/>
  <c r="E273" i="17" s="1"/>
  <c r="E274" i="17" s="1"/>
  <c r="E275" i="17" s="1"/>
  <c r="E276" i="17" s="1"/>
  <c r="E277" i="17" s="1"/>
  <c r="E278" i="17" s="1"/>
  <c r="E279" i="17" s="1"/>
  <c r="E280" i="17" s="1"/>
  <c r="E281" i="17" s="1"/>
  <c r="E282" i="17" s="1"/>
  <c r="E283" i="17" s="1"/>
  <c r="E284" i="17" s="1"/>
  <c r="E285" i="17" s="1"/>
  <c r="E286" i="17" s="1"/>
  <c r="E287" i="17" s="1"/>
  <c r="E288" i="17" s="1"/>
  <c r="E289" i="17" s="1"/>
  <c r="E290" i="17" s="1"/>
  <c r="E291" i="17" s="1"/>
  <c r="E292" i="17" s="1"/>
  <c r="E293" i="17" s="1"/>
  <c r="E294" i="17" s="1"/>
  <c r="E295" i="17" s="1"/>
  <c r="E296" i="17" s="1"/>
  <c r="E297" i="17" s="1"/>
  <c r="E298" i="17" s="1"/>
  <c r="E299" i="17" s="1"/>
  <c r="E300" i="17" s="1"/>
  <c r="E301" i="17" s="1"/>
  <c r="E302" i="17" s="1"/>
  <c r="E303" i="17" s="1"/>
  <c r="E304" i="17" s="1"/>
  <c r="E305" i="17" s="1"/>
  <c r="E306" i="17" s="1"/>
  <c r="E307" i="17" s="1"/>
  <c r="E308" i="17" s="1"/>
  <c r="E309" i="17" s="1"/>
  <c r="E310" i="17" s="1"/>
  <c r="E311" i="17" s="1"/>
  <c r="E312" i="17" s="1"/>
  <c r="E313" i="17" s="1"/>
  <c r="E314" i="17" s="1"/>
  <c r="E315" i="17" s="1"/>
  <c r="E316" i="17" s="1"/>
  <c r="E317" i="17" s="1"/>
  <c r="E318" i="17" s="1"/>
  <c r="E319" i="17" s="1"/>
  <c r="B61" i="9"/>
  <c r="E41" i="3"/>
  <c r="D512" i="18" s="1"/>
  <c r="H41" i="3"/>
  <c r="F52" i="9"/>
  <c r="G52" i="9" s="1"/>
  <c r="G67" i="6"/>
  <c r="E68" i="10"/>
  <c r="G68" i="10" s="1"/>
  <c r="D57" i="10"/>
  <c r="E25" i="10"/>
  <c r="E63" i="10" s="1"/>
  <c r="F63" i="10" s="1"/>
  <c r="G63" i="10" s="1"/>
  <c r="D72" i="21"/>
  <c r="D73" i="21" s="1"/>
  <c r="G103" i="23"/>
  <c r="G113" i="23"/>
  <c r="G105" i="23"/>
  <c r="F118" i="1"/>
  <c r="G118" i="1" s="1"/>
  <c r="H75" i="25"/>
  <c r="H57" i="25"/>
  <c r="I1113" i="18"/>
  <c r="I1114" i="18" s="1"/>
  <c r="I1115" i="18" s="1"/>
  <c r="F864" i="18"/>
  <c r="I834" i="18"/>
  <c r="I835" i="18" s="1"/>
  <c r="I1189" i="18"/>
  <c r="I1190" i="18" s="1"/>
  <c r="I1180" i="18"/>
  <c r="I325" i="18"/>
  <c r="I327" i="18" s="1"/>
  <c r="I966" i="18"/>
  <c r="J777" i="18"/>
  <c r="R762" i="18"/>
  <c r="G762" i="18" s="1"/>
  <c r="Q766" i="18"/>
  <c r="R766" i="18" s="1"/>
  <c r="G766" i="18" s="1"/>
  <c r="Q750" i="18"/>
  <c r="R750" i="18" s="1"/>
  <c r="G750" i="18" s="1"/>
  <c r="Q758" i="18"/>
  <c r="R758" i="18" s="1"/>
  <c r="G758" i="18" s="1"/>
  <c r="Q754" i="18"/>
  <c r="R754" i="18" s="1"/>
  <c r="G754" i="18" s="1"/>
  <c r="Q765" i="18"/>
  <c r="R765" i="18" s="1"/>
  <c r="G765" i="18" s="1"/>
  <c r="Q757" i="18"/>
  <c r="R757" i="18" s="1"/>
  <c r="G757" i="18" s="1"/>
  <c r="Q753" i="18"/>
  <c r="R753" i="18" s="1"/>
  <c r="G753" i="18" s="1"/>
  <c r="Q749" i="18"/>
  <c r="R749" i="18" s="1"/>
  <c r="G749" i="18" s="1"/>
  <c r="R755" i="18"/>
  <c r="G755" i="18" s="1"/>
  <c r="R751" i="18"/>
  <c r="G751" i="18" s="1"/>
  <c r="R768" i="18"/>
  <c r="G768" i="18" s="1"/>
  <c r="R764" i="18"/>
  <c r="G764" i="18" s="1"/>
  <c r="R760" i="18"/>
  <c r="G760" i="18" s="1"/>
  <c r="R767" i="18"/>
  <c r="G767" i="18" s="1"/>
  <c r="R763" i="18"/>
  <c r="G763" i="18" s="1"/>
  <c r="R759" i="18"/>
  <c r="G759" i="18" s="1"/>
  <c r="Q756" i="18"/>
  <c r="R756" i="18" s="1"/>
  <c r="G756" i="18" s="1"/>
  <c r="Q752" i="18"/>
  <c r="R752" i="18" s="1"/>
  <c r="G752" i="18" s="1"/>
  <c r="Q748" i="18"/>
  <c r="R748" i="18" s="1"/>
  <c r="G748" i="18" s="1"/>
  <c r="G164" i="1"/>
  <c r="H6" i="19"/>
  <c r="J1" i="19" s="1"/>
  <c r="H6" i="13"/>
  <c r="K15" i="3" s="1"/>
  <c r="B9" i="23"/>
  <c r="I956" i="18"/>
  <c r="C95" i="17"/>
  <c r="C96" i="17" s="1"/>
  <c r="C97" i="17" s="1"/>
  <c r="F13" i="20" s="1"/>
  <c r="K22" i="20"/>
  <c r="H2137" i="18" s="1"/>
  <c r="I2137" i="18" s="1"/>
  <c r="I2140" i="18" s="1"/>
  <c r="I2161" i="18" s="1"/>
  <c r="F47" i="12"/>
  <c r="G47" i="12" s="1"/>
  <c r="F47" i="36"/>
  <c r="G47" i="36" s="1"/>
  <c r="K26" i="3"/>
  <c r="K27" i="3" s="1"/>
  <c r="B72" i="12" s="1"/>
  <c r="G70" i="36"/>
  <c r="I467" i="18"/>
  <c r="I1104" i="18"/>
  <c r="G10" i="24"/>
  <c r="E78" i="24" s="1"/>
  <c r="I78" i="24" s="1"/>
  <c r="I80" i="24" s="1"/>
  <c r="I1964" i="18"/>
  <c r="I1982" i="18" s="1"/>
  <c r="I1457" i="18"/>
  <c r="I1533" i="18"/>
  <c r="F1627" i="18"/>
  <c r="I345" i="18"/>
  <c r="F354" i="18"/>
  <c r="I354" i="18" s="1"/>
  <c r="I81" i="18"/>
  <c r="G93" i="18"/>
  <c r="I93" i="18" s="1"/>
  <c r="G47" i="15"/>
  <c r="I89" i="15" s="1"/>
  <c r="H1736" i="18"/>
  <c r="I1736" i="18" s="1"/>
  <c r="I1739" i="18" s="1"/>
  <c r="I1761" i="18" s="1"/>
  <c r="I298" i="18"/>
  <c r="I299" i="18" s="1"/>
  <c r="I302" i="18" s="1"/>
  <c r="I303" i="18" s="1"/>
  <c r="I305" i="18" s="1"/>
  <c r="I1094" i="18"/>
  <c r="F83" i="21"/>
  <c r="G83" i="21" s="1"/>
  <c r="H56" i="5"/>
  <c r="H59" i="4"/>
  <c r="H53" i="22"/>
  <c r="H49" i="12"/>
  <c r="I1210" i="18"/>
  <c r="H116" i="8"/>
  <c r="I116" i="8" s="1"/>
  <c r="I1200" i="18"/>
  <c r="R112" i="3"/>
  <c r="F55" i="5" s="1"/>
  <c r="G55" i="5" s="1"/>
  <c r="F54" i="5"/>
  <c r="G54" i="5" s="1"/>
  <c r="G26" i="1"/>
  <c r="G22" i="1"/>
  <c r="F13" i="1"/>
  <c r="F26" i="1"/>
  <c r="F22" i="1"/>
  <c r="B92" i="3"/>
  <c r="H60" i="1"/>
  <c r="B93" i="3"/>
  <c r="B94" i="3" s="1"/>
  <c r="B95" i="3" s="1"/>
  <c r="B97" i="3" s="1"/>
  <c r="B100" i="3" s="1"/>
  <c r="B102" i="3" s="1"/>
  <c r="B105" i="3" s="1"/>
  <c r="B106" i="3" s="1"/>
  <c r="D105" i="3"/>
  <c r="D106" i="3" s="1"/>
  <c r="F51" i="3"/>
  <c r="D46" i="3"/>
  <c r="F50" i="3"/>
  <c r="D47" i="3"/>
  <c r="H18" i="25"/>
  <c r="H20" i="25" s="1"/>
  <c r="H19" i="25"/>
  <c r="H21" i="25" s="1"/>
  <c r="H27" i="25" s="1"/>
  <c r="H28" i="25" s="1"/>
  <c r="H29" i="25" s="1"/>
  <c r="H41" i="25"/>
  <c r="H42" i="25" s="1"/>
  <c r="H43" i="25" s="1"/>
  <c r="H16" i="25"/>
  <c r="H47" i="25" s="1"/>
  <c r="H49" i="25" s="1"/>
  <c r="L71" i="25"/>
  <c r="J69" i="25"/>
  <c r="H67" i="25"/>
  <c r="H69" i="25" s="1"/>
  <c r="H70" i="25" s="1"/>
  <c r="I1085" i="18"/>
  <c r="I1066" i="18"/>
  <c r="G176" i="2"/>
  <c r="C41" i="24"/>
  <c r="F41" i="24"/>
  <c r="F42" i="24" s="1"/>
  <c r="G55" i="24"/>
  <c r="I97" i="24" s="1"/>
  <c r="E42" i="24"/>
  <c r="E43" i="24" s="1"/>
  <c r="C40" i="23"/>
  <c r="F40" i="23"/>
  <c r="G86" i="23"/>
  <c r="C89" i="23"/>
  <c r="G89" i="23" s="1"/>
  <c r="G82" i="23"/>
  <c r="C85" i="23"/>
  <c r="G81" i="23"/>
  <c r="C84" i="23"/>
  <c r="G109" i="23"/>
  <c r="G96" i="23"/>
  <c r="G95" i="23"/>
  <c r="G94" i="23"/>
  <c r="G93" i="23"/>
  <c r="G92" i="23"/>
  <c r="G91" i="23"/>
  <c r="G90" i="23"/>
  <c r="G83" i="23"/>
  <c r="G80" i="23"/>
  <c r="G79" i="23"/>
  <c r="G78" i="23"/>
  <c r="G76" i="23"/>
  <c r="G77" i="23" s="1"/>
  <c r="G68" i="23"/>
  <c r="E138" i="23"/>
  <c r="G138" i="23" s="1"/>
  <c r="G144" i="23" s="1"/>
  <c r="G134" i="23"/>
  <c r="G136" i="23" s="1"/>
  <c r="G111" i="23"/>
  <c r="G107" i="23"/>
  <c r="G97" i="23"/>
  <c r="G62" i="23"/>
  <c r="G65" i="23"/>
  <c r="G81" i="22"/>
  <c r="F81" i="22"/>
  <c r="F91" i="22"/>
  <c r="G91" i="22"/>
  <c r="F79" i="22"/>
  <c r="G79" i="22"/>
  <c r="I79" i="22" s="1"/>
  <c r="G70" i="22"/>
  <c r="I70" i="22" s="1"/>
  <c r="D71" i="22"/>
  <c r="G71" i="22" s="1"/>
  <c r="I71" i="22" s="1"/>
  <c r="G64" i="22"/>
  <c r="D65" i="22"/>
  <c r="G65" i="22" s="1"/>
  <c r="G93" i="22"/>
  <c r="G97" i="22" s="1"/>
  <c r="E94" i="22"/>
  <c r="G94" i="22" s="1"/>
  <c r="D53" i="22"/>
  <c r="E52" i="22"/>
  <c r="D88" i="22"/>
  <c r="G88" i="22" s="1"/>
  <c r="G83" i="22"/>
  <c r="G86" i="22" s="1"/>
  <c r="G73" i="22"/>
  <c r="D74" i="22"/>
  <c r="G74" i="22" s="1"/>
  <c r="G67" i="22"/>
  <c r="I67" i="22" s="1"/>
  <c r="D68" i="22"/>
  <c r="G68" i="22" s="1"/>
  <c r="I68" i="22" s="1"/>
  <c r="G60" i="22"/>
  <c r="D61" i="22"/>
  <c r="G61" i="22" s="1"/>
  <c r="E222" i="21"/>
  <c r="G222" i="21" s="1"/>
  <c r="E221" i="21"/>
  <c r="G221" i="21" s="1"/>
  <c r="E220" i="21"/>
  <c r="G220" i="21" s="1"/>
  <c r="E219" i="21"/>
  <c r="G219" i="21" s="1"/>
  <c r="E218" i="21"/>
  <c r="G218" i="21" s="1"/>
  <c r="E217" i="21"/>
  <c r="G217" i="21" s="1"/>
  <c r="E216" i="21"/>
  <c r="G216" i="21" s="1"/>
  <c r="E215" i="21"/>
  <c r="G215" i="21" s="1"/>
  <c r="E214" i="21"/>
  <c r="G214" i="21" s="1"/>
  <c r="D133" i="21"/>
  <c r="G132" i="21"/>
  <c r="C72" i="21"/>
  <c r="C71" i="21"/>
  <c r="F71" i="21"/>
  <c r="G104" i="21"/>
  <c r="E72" i="21"/>
  <c r="I1458" i="18"/>
  <c r="I1459" i="18" s="1"/>
  <c r="I1460" i="18" s="1"/>
  <c r="H64" i="11" s="1"/>
  <c r="I64" i="11" s="1"/>
  <c r="I1541" i="18"/>
  <c r="G1534" i="18"/>
  <c r="G1535" i="18" s="1"/>
  <c r="I602" i="18"/>
  <c r="I603" i="18" s="1"/>
  <c r="I468" i="18"/>
  <c r="I469" i="18" s="1"/>
  <c r="I287" i="18"/>
  <c r="I288" i="18" s="1"/>
  <c r="I1317" i="18"/>
  <c r="I1318" i="18" s="1"/>
  <c r="I1319" i="18" s="1"/>
  <c r="H1703" i="18"/>
  <c r="I1584" i="18"/>
  <c r="I1973" i="18"/>
  <c r="H2029" i="18"/>
  <c r="G1376" i="18"/>
  <c r="G1377" i="18" s="1"/>
  <c r="G1378" i="18" s="1"/>
  <c r="H2152" i="18"/>
  <c r="I2152" i="18" s="1"/>
  <c r="I2106" i="18"/>
  <c r="I1922" i="18"/>
  <c r="G1915" i="18"/>
  <c r="I1258" i="18"/>
  <c r="I1259" i="18" s="1"/>
  <c r="I1260" i="18" s="1"/>
  <c r="C1247" i="18"/>
  <c r="I1247" i="18" s="1"/>
  <c r="I1217" i="18"/>
  <c r="I804" i="18"/>
  <c r="I805" i="18" s="1"/>
  <c r="I774" i="18"/>
  <c r="I775" i="18" s="1"/>
  <c r="H808" i="18"/>
  <c r="H809" i="18" s="1"/>
  <c r="H810" i="18" s="1"/>
  <c r="H811" i="18" s="1"/>
  <c r="H812" i="18" s="1"/>
  <c r="H813" i="18" s="1"/>
  <c r="H814" i="18" s="1"/>
  <c r="H815" i="18" s="1"/>
  <c r="H816" i="18" s="1"/>
  <c r="H817" i="18" s="1"/>
  <c r="H818" i="18" s="1"/>
  <c r="H819" i="18" s="1"/>
  <c r="H820" i="18" s="1"/>
  <c r="H821" i="18" s="1"/>
  <c r="H822" i="18" s="1"/>
  <c r="H823" i="18" s="1"/>
  <c r="H824" i="18" s="1"/>
  <c r="H825" i="18" s="1"/>
  <c r="H826" i="18" s="1"/>
  <c r="H827" i="18" s="1"/>
  <c r="H828" i="18" s="1"/>
  <c r="I178" i="18"/>
  <c r="G186" i="18"/>
  <c r="I641" i="18"/>
  <c r="I642" i="18" s="1"/>
  <c r="I570" i="18"/>
  <c r="I571" i="18" s="1"/>
  <c r="I545" i="18"/>
  <c r="I546" i="18" s="1"/>
  <c r="G1450" i="18"/>
  <c r="I1278" i="18"/>
  <c r="I1279" i="18" s="1"/>
  <c r="I1015" i="18"/>
  <c r="H325" i="18"/>
  <c r="I12" i="18"/>
  <c r="I18" i="18"/>
  <c r="H48" i="36" s="1"/>
  <c r="G1683" i="18"/>
  <c r="D1629" i="18"/>
  <c r="H1704" i="18"/>
  <c r="I1585" i="18"/>
  <c r="I1248" i="18"/>
  <c r="I1249" i="18" s="1"/>
  <c r="I1250" i="18" s="1"/>
  <c r="I1218" i="18"/>
  <c r="I1219" i="18" s="1"/>
  <c r="I1131" i="18"/>
  <c r="I1132" i="18" s="1"/>
  <c r="I1133" i="18" s="1"/>
  <c r="I696" i="18"/>
  <c r="I697" i="18" s="1"/>
  <c r="I610" i="18"/>
  <c r="I611" i="18" s="1"/>
  <c r="H748" i="18"/>
  <c r="H778" i="18" s="1"/>
  <c r="F674" i="18"/>
  <c r="I674" i="18" s="1"/>
  <c r="I310" i="18"/>
  <c r="I313" i="18" s="1"/>
  <c r="I184" i="18"/>
  <c r="G192" i="18"/>
  <c r="I627" i="18"/>
  <c r="I628" i="18" s="1"/>
  <c r="I593" i="18"/>
  <c r="I594" i="18" s="1"/>
  <c r="I437" i="18"/>
  <c r="I438" i="18" s="1"/>
  <c r="I562" i="18"/>
  <c r="I563" i="18" s="1"/>
  <c r="I530" i="18"/>
  <c r="I531" i="18" s="1"/>
  <c r="F1629" i="18"/>
  <c r="I1629" i="18" s="1"/>
  <c r="I1377" i="18"/>
  <c r="I982" i="18"/>
  <c r="B425" i="18"/>
  <c r="I333" i="18"/>
  <c r="H327" i="18"/>
  <c r="D93" i="17"/>
  <c r="G92" i="17"/>
  <c r="F85" i="15"/>
  <c r="F74" i="15"/>
  <c r="F78" i="15" s="1"/>
  <c r="I74" i="15"/>
  <c r="I78" i="15"/>
  <c r="I85" i="15"/>
  <c r="H62" i="14"/>
  <c r="L62" i="14" s="1"/>
  <c r="M62" i="14" s="1"/>
  <c r="H60" i="14"/>
  <c r="L60" i="14" s="1"/>
  <c r="M60" i="14" s="1"/>
  <c r="H58" i="14"/>
  <c r="L58" i="14" s="1"/>
  <c r="M58" i="14" s="1"/>
  <c r="H56" i="14"/>
  <c r="L56" i="14" s="1"/>
  <c r="M56" i="14" s="1"/>
  <c r="H54" i="14"/>
  <c r="L54" i="14" s="1"/>
  <c r="M54" i="14" s="1"/>
  <c r="H52" i="14"/>
  <c r="L52" i="14" s="1"/>
  <c r="M52" i="14" s="1"/>
  <c r="H44" i="14"/>
  <c r="L44" i="14" s="1"/>
  <c r="M44" i="14" s="1"/>
  <c r="H42" i="14"/>
  <c r="L42" i="14" s="1"/>
  <c r="M42" i="14" s="1"/>
  <c r="H40" i="14"/>
  <c r="L40" i="14" s="1"/>
  <c r="M40" i="14" s="1"/>
  <c r="H38" i="14"/>
  <c r="L38" i="14" s="1"/>
  <c r="M38" i="14" s="1"/>
  <c r="H36" i="14"/>
  <c r="L36" i="14" s="1"/>
  <c r="M36" i="14" s="1"/>
  <c r="H98" i="14"/>
  <c r="I98" i="14" s="1"/>
  <c r="J98" i="14" s="1"/>
  <c r="H97" i="14"/>
  <c r="I97" i="14" s="1"/>
  <c r="J97" i="14" s="1"/>
  <c r="H96" i="14"/>
  <c r="I96" i="14" s="1"/>
  <c r="J96" i="14" s="1"/>
  <c r="H95" i="14"/>
  <c r="I95" i="14" s="1"/>
  <c r="J95" i="14" s="1"/>
  <c r="H94" i="14"/>
  <c r="I94" i="14" s="1"/>
  <c r="J94" i="14" s="1"/>
  <c r="H93" i="14"/>
  <c r="I93" i="14" s="1"/>
  <c r="J93" i="14" s="1"/>
  <c r="H92" i="14"/>
  <c r="I92" i="14" s="1"/>
  <c r="J92" i="14" s="1"/>
  <c r="H91" i="14"/>
  <c r="I91" i="14" s="1"/>
  <c r="J91" i="14" s="1"/>
  <c r="H90" i="14"/>
  <c r="I90" i="14" s="1"/>
  <c r="J90" i="14" s="1"/>
  <c r="H89" i="14"/>
  <c r="I89" i="14" s="1"/>
  <c r="J89" i="14" s="1"/>
  <c r="H88" i="14"/>
  <c r="I88" i="14" s="1"/>
  <c r="J88" i="14" s="1"/>
  <c r="H87" i="14"/>
  <c r="I87" i="14" s="1"/>
  <c r="J87" i="14" s="1"/>
  <c r="H80" i="14"/>
  <c r="I80" i="14" s="1"/>
  <c r="J80" i="14" s="1"/>
  <c r="C114" i="14" s="1"/>
  <c r="H78" i="3" s="1"/>
  <c r="H79" i="14"/>
  <c r="I79" i="14" s="1"/>
  <c r="J79" i="14" s="1"/>
  <c r="C113" i="14" s="1"/>
  <c r="H77" i="3" s="1"/>
  <c r="H78" i="14"/>
  <c r="I78" i="14" s="1"/>
  <c r="J78" i="14" s="1"/>
  <c r="C112" i="14" s="1"/>
  <c r="H76" i="3" s="1"/>
  <c r="H77" i="14"/>
  <c r="I77" i="14" s="1"/>
  <c r="J77" i="14" s="1"/>
  <c r="C111" i="14" s="1"/>
  <c r="H75" i="3" s="1"/>
  <c r="H76" i="14"/>
  <c r="I76" i="14" s="1"/>
  <c r="J76" i="14" s="1"/>
  <c r="C110" i="14" s="1"/>
  <c r="H74" i="3" s="1"/>
  <c r="H75" i="14"/>
  <c r="I75" i="14" s="1"/>
  <c r="J75" i="14" s="1"/>
  <c r="C109" i="14" s="1"/>
  <c r="H73" i="3" s="1"/>
  <c r="H74" i="14"/>
  <c r="I74" i="14" s="1"/>
  <c r="J74" i="14" s="1"/>
  <c r="C108" i="14" s="1"/>
  <c r="H72" i="3" s="1"/>
  <c r="H73" i="14"/>
  <c r="I73" i="14" s="1"/>
  <c r="J73" i="14" s="1"/>
  <c r="C107" i="14" s="1"/>
  <c r="H71" i="3" s="1"/>
  <c r="H72" i="14"/>
  <c r="I72" i="14" s="1"/>
  <c r="J72" i="14" s="1"/>
  <c r="C106" i="14" s="1"/>
  <c r="H70" i="3" s="1"/>
  <c r="H71" i="14"/>
  <c r="I71" i="14" s="1"/>
  <c r="J71" i="14" s="1"/>
  <c r="C105" i="14" s="1"/>
  <c r="H69" i="3" s="1"/>
  <c r="H70" i="14"/>
  <c r="I70" i="14" s="1"/>
  <c r="J70" i="14" s="1"/>
  <c r="C104" i="14" s="1"/>
  <c r="H68" i="3" s="1"/>
  <c r="H69" i="14"/>
  <c r="I69" i="14" s="1"/>
  <c r="J69" i="14" s="1"/>
  <c r="C103" i="14" s="1"/>
  <c r="H67" i="3" s="1"/>
  <c r="H61" i="14"/>
  <c r="L61" i="14" s="1"/>
  <c r="M61" i="14" s="1"/>
  <c r="H59" i="14"/>
  <c r="L59" i="14" s="1"/>
  <c r="M59" i="14" s="1"/>
  <c r="H57" i="14"/>
  <c r="L57" i="14" s="1"/>
  <c r="M57" i="14" s="1"/>
  <c r="H55" i="14"/>
  <c r="L55" i="14" s="1"/>
  <c r="M55" i="14" s="1"/>
  <c r="H53" i="14"/>
  <c r="L53" i="14" s="1"/>
  <c r="M53" i="14" s="1"/>
  <c r="H51" i="14"/>
  <c r="L51" i="14" s="1"/>
  <c r="M51" i="14" s="1"/>
  <c r="H43" i="14"/>
  <c r="L43" i="14" s="1"/>
  <c r="M43" i="14" s="1"/>
  <c r="H41" i="14"/>
  <c r="L41" i="14" s="1"/>
  <c r="M41" i="14" s="1"/>
  <c r="H39" i="14"/>
  <c r="L39" i="14" s="1"/>
  <c r="M39" i="14" s="1"/>
  <c r="H37" i="14"/>
  <c r="L37" i="14" s="1"/>
  <c r="M37" i="14" s="1"/>
  <c r="H34" i="14"/>
  <c r="L34" i="14" s="1"/>
  <c r="M34" i="14" s="1"/>
  <c r="H26" i="14"/>
  <c r="L26" i="14" s="1"/>
  <c r="M26" i="14" s="1"/>
  <c r="H114" i="14" s="1"/>
  <c r="M78" i="3" s="1"/>
  <c r="H24" i="14"/>
  <c r="L24" i="14" s="1"/>
  <c r="M24" i="14" s="1"/>
  <c r="H112" i="14" s="1"/>
  <c r="M76" i="3" s="1"/>
  <c r="H22" i="14"/>
  <c r="L22" i="14" s="1"/>
  <c r="M22" i="14" s="1"/>
  <c r="H110" i="14" s="1"/>
  <c r="M74" i="3" s="1"/>
  <c r="H20" i="14"/>
  <c r="L20" i="14" s="1"/>
  <c r="M20" i="14" s="1"/>
  <c r="H108" i="14" s="1"/>
  <c r="M72" i="3" s="1"/>
  <c r="H18" i="14"/>
  <c r="L18" i="14" s="1"/>
  <c r="M18" i="14" s="1"/>
  <c r="H106" i="14" s="1"/>
  <c r="M70" i="3" s="1"/>
  <c r="H16" i="14"/>
  <c r="L16" i="14" s="1"/>
  <c r="M16" i="14" s="1"/>
  <c r="H104" i="14" s="1"/>
  <c r="M68" i="3" s="1"/>
  <c r="H35" i="14"/>
  <c r="L35" i="14" s="1"/>
  <c r="M35" i="14" s="1"/>
  <c r="H33" i="14"/>
  <c r="L33" i="14" s="1"/>
  <c r="M33" i="14" s="1"/>
  <c r="H25" i="14"/>
  <c r="L25" i="14" s="1"/>
  <c r="M25" i="14" s="1"/>
  <c r="H113" i="14" s="1"/>
  <c r="M77" i="3" s="1"/>
  <c r="H23" i="14"/>
  <c r="L23" i="14" s="1"/>
  <c r="M23" i="14" s="1"/>
  <c r="H111" i="14" s="1"/>
  <c r="M75" i="3" s="1"/>
  <c r="H21" i="14"/>
  <c r="L21" i="14" s="1"/>
  <c r="M21" i="14" s="1"/>
  <c r="H109" i="14" s="1"/>
  <c r="M73" i="3" s="1"/>
  <c r="H19" i="14"/>
  <c r="L19" i="14" s="1"/>
  <c r="M19" i="14" s="1"/>
  <c r="H107" i="14" s="1"/>
  <c r="M71" i="3" s="1"/>
  <c r="H17" i="14"/>
  <c r="L17" i="14" s="1"/>
  <c r="M17" i="14" s="1"/>
  <c r="H105" i="14" s="1"/>
  <c r="M69" i="3" s="1"/>
  <c r="L15" i="14"/>
  <c r="M15" i="14" s="1"/>
  <c r="H103" i="14" s="1"/>
  <c r="M67" i="3" s="1"/>
  <c r="I61" i="14"/>
  <c r="I57" i="14"/>
  <c r="I53" i="14"/>
  <c r="I43" i="14"/>
  <c r="J43" i="14" s="1"/>
  <c r="D113" i="14" s="1"/>
  <c r="G77" i="3" s="1"/>
  <c r="I39" i="14"/>
  <c r="J39" i="14" s="1"/>
  <c r="D109" i="14" s="1"/>
  <c r="G73" i="3" s="1"/>
  <c r="I62" i="14"/>
  <c r="I58" i="14"/>
  <c r="J58" i="14" s="1"/>
  <c r="I54" i="14"/>
  <c r="I40" i="14"/>
  <c r="I33" i="14"/>
  <c r="J33" i="14" s="1"/>
  <c r="D103" i="14" s="1"/>
  <c r="G67" i="3" s="1"/>
  <c r="I23" i="14"/>
  <c r="I19" i="14"/>
  <c r="J53" i="14"/>
  <c r="J57" i="14"/>
  <c r="J61" i="14"/>
  <c r="J40" i="14"/>
  <c r="D110" i="14" s="1"/>
  <c r="G74" i="3" s="1"/>
  <c r="J54" i="14"/>
  <c r="J62" i="14"/>
  <c r="I36" i="14"/>
  <c r="J36" i="14" s="1"/>
  <c r="D106" i="14" s="1"/>
  <c r="G70" i="3" s="1"/>
  <c r="I34" i="14"/>
  <c r="J34" i="14" s="1"/>
  <c r="D104" i="14" s="1"/>
  <c r="G68" i="3" s="1"/>
  <c r="I24" i="14"/>
  <c r="J24" i="14" s="1"/>
  <c r="E112" i="14" s="1"/>
  <c r="F76" i="3" s="1"/>
  <c r="I20" i="14"/>
  <c r="J20" i="14" s="1"/>
  <c r="E108" i="14" s="1"/>
  <c r="F72" i="3" s="1"/>
  <c r="I16" i="14"/>
  <c r="J16" i="14" s="1"/>
  <c r="E104" i="14" s="1"/>
  <c r="F68" i="3" s="1"/>
  <c r="I59" i="14"/>
  <c r="J59" i="14" s="1"/>
  <c r="I51" i="14"/>
  <c r="J51" i="14" s="1"/>
  <c r="I41" i="14"/>
  <c r="J41" i="14" s="1"/>
  <c r="D111" i="14" s="1"/>
  <c r="G75" i="3" s="1"/>
  <c r="I37" i="14"/>
  <c r="J37" i="14" s="1"/>
  <c r="D107" i="14" s="1"/>
  <c r="G71" i="3" s="1"/>
  <c r="I60" i="14"/>
  <c r="J60" i="14" s="1"/>
  <c r="I56" i="14"/>
  <c r="J56" i="14" s="1"/>
  <c r="I52" i="14"/>
  <c r="J52" i="14" s="1"/>
  <c r="I42" i="14"/>
  <c r="J42" i="14" s="1"/>
  <c r="D112" i="14" s="1"/>
  <c r="G76" i="3" s="1"/>
  <c r="I38" i="14"/>
  <c r="J38" i="14" s="1"/>
  <c r="D108" i="14" s="1"/>
  <c r="G72" i="3" s="1"/>
  <c r="I35" i="14"/>
  <c r="J35" i="14" s="1"/>
  <c r="D105" i="14" s="1"/>
  <c r="G69" i="3" s="1"/>
  <c r="I25" i="14"/>
  <c r="J25" i="14" s="1"/>
  <c r="E113" i="14" s="1"/>
  <c r="F77" i="3" s="1"/>
  <c r="I21" i="14"/>
  <c r="J21" i="14" s="1"/>
  <c r="E109" i="14" s="1"/>
  <c r="F73" i="3" s="1"/>
  <c r="I26" i="14"/>
  <c r="J26" i="14" s="1"/>
  <c r="E114" i="14" s="1"/>
  <c r="F78" i="3" s="1"/>
  <c r="J23" i="14"/>
  <c r="E111" i="14" s="1"/>
  <c r="F75" i="3" s="1"/>
  <c r="I22" i="14"/>
  <c r="J22" i="14" s="1"/>
  <c r="E110" i="14" s="1"/>
  <c r="F74" i="3" s="1"/>
  <c r="J19" i="14"/>
  <c r="E107" i="14" s="1"/>
  <c r="F71" i="3" s="1"/>
  <c r="I18" i="14"/>
  <c r="J18" i="14" s="1"/>
  <c r="E106" i="14" s="1"/>
  <c r="F70" i="3" s="1"/>
  <c r="L27" i="3" s="1"/>
  <c r="J15" i="14"/>
  <c r="E103" i="14" s="1"/>
  <c r="F67" i="3" s="1"/>
  <c r="E51" i="13"/>
  <c r="G51" i="13" s="1"/>
  <c r="G73" i="13"/>
  <c r="E49" i="13"/>
  <c r="G49" i="13" s="1"/>
  <c r="G62" i="12"/>
  <c r="E63" i="12"/>
  <c r="G59" i="12"/>
  <c r="F59" i="12"/>
  <c r="D55" i="12"/>
  <c r="D53" i="12"/>
  <c r="D51" i="12"/>
  <c r="F72" i="11"/>
  <c r="G72" i="11" s="1"/>
  <c r="F67" i="11"/>
  <c r="G67" i="11" s="1"/>
  <c r="G70" i="11" s="1"/>
  <c r="G2" i="11"/>
  <c r="D27" i="11"/>
  <c r="H25" i="11" s="1"/>
  <c r="L90" i="11"/>
  <c r="D90" i="11" s="1"/>
  <c r="E87" i="11"/>
  <c r="G87" i="11" s="1"/>
  <c r="G102" i="11"/>
  <c r="G86" i="11"/>
  <c r="D59" i="10"/>
  <c r="G59" i="10" s="1"/>
  <c r="C12" i="10"/>
  <c r="E34" i="3" s="1"/>
  <c r="E72" i="10"/>
  <c r="G72" i="10" s="1"/>
  <c r="E64" i="10"/>
  <c r="G64" i="10" s="1"/>
  <c r="G66" i="10" s="1"/>
  <c r="D55" i="10"/>
  <c r="E55" i="10" s="1"/>
  <c r="G55" i="10" s="1"/>
  <c r="D51" i="10"/>
  <c r="D53" i="10" s="1"/>
  <c r="E49" i="10"/>
  <c r="E57" i="10"/>
  <c r="G57" i="10" s="1"/>
  <c r="C11" i="10"/>
  <c r="E35" i="3" s="1"/>
  <c r="E56" i="9"/>
  <c r="G54" i="9"/>
  <c r="G67" i="9"/>
  <c r="G62" i="9"/>
  <c r="E72" i="9"/>
  <c r="F62" i="9"/>
  <c r="C76" i="6"/>
  <c r="C91" i="6"/>
  <c r="G46" i="6"/>
  <c r="G69" i="6"/>
  <c r="G73" i="6" s="1"/>
  <c r="G57" i="6"/>
  <c r="G51" i="6"/>
  <c r="E82" i="5"/>
  <c r="G75" i="5"/>
  <c r="G66" i="5"/>
  <c r="D68" i="5"/>
  <c r="D67" i="5"/>
  <c r="G67" i="5" s="1"/>
  <c r="G62" i="5"/>
  <c r="E62" i="5"/>
  <c r="F81" i="5"/>
  <c r="G81" i="5" s="1"/>
  <c r="E60" i="5"/>
  <c r="G60" i="5" s="1"/>
  <c r="E37" i="5"/>
  <c r="D73" i="4"/>
  <c r="G72" i="4"/>
  <c r="G68" i="4"/>
  <c r="E68" i="4"/>
  <c r="E87" i="4"/>
  <c r="E81" i="4"/>
  <c r="G83" i="4"/>
  <c r="E88" i="4"/>
  <c r="F83" i="4"/>
  <c r="G65" i="4"/>
  <c r="E65" i="4"/>
  <c r="G55" i="4"/>
  <c r="E55" i="4"/>
  <c r="E56" i="4" s="1"/>
  <c r="E57" i="4" s="1"/>
  <c r="E58" i="4" s="1"/>
  <c r="E59" i="4" s="1"/>
  <c r="D37" i="4"/>
  <c r="D56" i="4"/>
  <c r="D130" i="3"/>
  <c r="F63" i="23" s="1"/>
  <c r="G63" i="23" s="1"/>
  <c r="D48" i="3"/>
  <c r="N112" i="3"/>
  <c r="L26" i="3"/>
  <c r="H24" i="3"/>
  <c r="H16" i="3"/>
  <c r="I16" i="3" s="1"/>
  <c r="D161" i="3"/>
  <c r="D144" i="3"/>
  <c r="F96" i="21" s="1"/>
  <c r="G96" i="21" s="1"/>
  <c r="M112" i="3"/>
  <c r="C46" i="3"/>
  <c r="C49" i="3" s="1"/>
  <c r="I41" i="3"/>
  <c r="H42" i="3" s="1"/>
  <c r="I42" i="3" s="1"/>
  <c r="I34" i="3"/>
  <c r="H35" i="3" s="1"/>
  <c r="I35" i="3" s="1"/>
  <c r="G119" i="2"/>
  <c r="G178" i="2"/>
  <c r="G117" i="2"/>
  <c r="F227" i="2"/>
  <c r="G227" i="2" s="1"/>
  <c r="G230" i="2" s="1"/>
  <c r="E164" i="2"/>
  <c r="G164" i="2" s="1"/>
  <c r="E160" i="2"/>
  <c r="F160" i="2" s="1"/>
  <c r="G160" i="2" s="1"/>
  <c r="E162" i="2"/>
  <c r="G162" i="2" s="1"/>
  <c r="E55" i="2"/>
  <c r="E61" i="2"/>
  <c r="F55" i="2"/>
  <c r="E60" i="2"/>
  <c r="G59" i="2"/>
  <c r="E49" i="2"/>
  <c r="G49" i="2" s="1"/>
  <c r="E47" i="2"/>
  <c r="G47" i="2" s="1"/>
  <c r="E51" i="2"/>
  <c r="G51" i="2" s="1"/>
  <c r="G222" i="2"/>
  <c r="G224" i="2" s="1"/>
  <c r="H77" i="1"/>
  <c r="H79" i="1" s="1"/>
  <c r="F77" i="1"/>
  <c r="I159" i="1"/>
  <c r="F159" i="1"/>
  <c r="F125" i="1" l="1"/>
  <c r="H125" i="1" s="1"/>
  <c r="F127" i="1"/>
  <c r="H127" i="1" s="1"/>
  <c r="F134" i="1"/>
  <c r="H134" i="1" s="1"/>
  <c r="F124" i="1"/>
  <c r="H124" i="1" s="1"/>
  <c r="F126" i="1"/>
  <c r="H126" i="1" s="1"/>
  <c r="F135" i="1"/>
  <c r="H135" i="1" s="1"/>
  <c r="F123" i="1"/>
  <c r="H123" i="1" s="1"/>
  <c r="F138" i="1"/>
  <c r="H138" i="1" s="1"/>
  <c r="F129" i="1"/>
  <c r="H129" i="1" s="1"/>
  <c r="F128" i="1"/>
  <c r="H128" i="1" s="1"/>
  <c r="F131" i="1"/>
  <c r="H131" i="1" s="1"/>
  <c r="F122" i="1"/>
  <c r="H122" i="1" s="1"/>
  <c r="F133" i="1"/>
  <c r="H133" i="1" s="1"/>
  <c r="F132" i="1"/>
  <c r="H132" i="1" s="1"/>
  <c r="F139" i="1"/>
  <c r="H139" i="1" s="1"/>
  <c r="F121" i="1"/>
  <c r="H121" i="1" s="1"/>
  <c r="F137" i="1"/>
  <c r="H137" i="1" s="1"/>
  <c r="F136" i="1"/>
  <c r="H136" i="1" s="1"/>
  <c r="F130" i="1"/>
  <c r="H130" i="1" s="1"/>
  <c r="F120" i="1"/>
  <c r="H120" i="1" s="1"/>
  <c r="F141" i="1"/>
  <c r="H141" i="1" s="1"/>
  <c r="F140" i="1"/>
  <c r="H140" i="1" s="1"/>
  <c r="C162" i="3"/>
  <c r="D162" i="3" s="1"/>
  <c r="F53" i="22" s="1"/>
  <c r="F52" i="22"/>
  <c r="F72" i="21"/>
  <c r="F73" i="21" s="1"/>
  <c r="F82" i="21" s="1"/>
  <c r="F41" i="23"/>
  <c r="F42" i="23" s="1"/>
  <c r="J79" i="25"/>
  <c r="H79" i="25"/>
  <c r="H81" i="25" s="1"/>
  <c r="H82" i="25" s="1"/>
  <c r="H17" i="3"/>
  <c r="I17" i="3" s="1"/>
  <c r="F47" i="13"/>
  <c r="G47" i="13" s="1"/>
  <c r="I17" i="14"/>
  <c r="J17" i="14" s="1"/>
  <c r="E105" i="14" s="1"/>
  <c r="F69" i="3" s="1"/>
  <c r="I55" i="14"/>
  <c r="J55" i="14" s="1"/>
  <c r="I44" i="14"/>
  <c r="J44" i="14" s="1"/>
  <c r="D114" i="14" s="1"/>
  <c r="G78" i="3" s="1"/>
  <c r="F514" i="18"/>
  <c r="C513" i="18"/>
  <c r="C514" i="18"/>
  <c r="I514" i="18" s="1"/>
  <c r="I515" i="18" s="1"/>
  <c r="I516" i="18" s="1"/>
  <c r="I1357" i="18"/>
  <c r="I1358" i="18" s="1"/>
  <c r="I1359" i="18" s="1"/>
  <c r="L113" i="3"/>
  <c r="M113" i="3" s="1"/>
  <c r="F56" i="4"/>
  <c r="G52" i="22"/>
  <c r="B212" i="17"/>
  <c r="B213" i="17" s="1"/>
  <c r="B214" i="17" s="1"/>
  <c r="B215" i="17" s="1"/>
  <c r="B216" i="17" s="1"/>
  <c r="B217" i="17" s="1"/>
  <c r="B218" i="17" s="1"/>
  <c r="B219" i="17" s="1"/>
  <c r="B220" i="17" s="1"/>
  <c r="B221" i="17" s="1"/>
  <c r="B222" i="17" s="1"/>
  <c r="B223" i="17" s="1"/>
  <c r="B224" i="17" s="1"/>
  <c r="B225" i="17" s="1"/>
  <c r="B226" i="17" s="1"/>
  <c r="B227" i="17" s="1"/>
  <c r="B228" i="17" s="1"/>
  <c r="B229" i="17" s="1"/>
  <c r="B230" i="17" s="1"/>
  <c r="B231" i="17" s="1"/>
  <c r="B232" i="17" s="1"/>
  <c r="B233" i="17" s="1"/>
  <c r="B234" i="17" s="1"/>
  <c r="B235" i="17" s="1"/>
  <c r="B236" i="17" s="1"/>
  <c r="B237" i="17" s="1"/>
  <c r="B238" i="17" s="1"/>
  <c r="B239" i="17" s="1"/>
  <c r="B240" i="17" s="1"/>
  <c r="B241" i="17" s="1"/>
  <c r="B242" i="17" s="1"/>
  <c r="B243" i="17" s="1"/>
  <c r="B244" i="17" s="1"/>
  <c r="B245" i="17" s="1"/>
  <c r="B246" i="17" s="1"/>
  <c r="B247" i="17" s="1"/>
  <c r="B248" i="17" s="1"/>
  <c r="B249" i="17" s="1"/>
  <c r="B250" i="17" s="1"/>
  <c r="B251" i="17" s="1"/>
  <c r="B252" i="17" s="1"/>
  <c r="B253" i="17" s="1"/>
  <c r="B254" i="17" s="1"/>
  <c r="B255" i="17" s="1"/>
  <c r="B256" i="17" s="1"/>
  <c r="B257" i="17" s="1"/>
  <c r="B258" i="17" s="1"/>
  <c r="B259" i="17" s="1"/>
  <c r="B260" i="17" s="1"/>
  <c r="B261" i="17" s="1"/>
  <c r="B262" i="17" s="1"/>
  <c r="B263" i="17" s="1"/>
  <c r="B264" i="17" s="1"/>
  <c r="B265" i="17" s="1"/>
  <c r="B266" i="17" s="1"/>
  <c r="B267" i="17" s="1"/>
  <c r="B268" i="17" s="1"/>
  <c r="B269" i="17" s="1"/>
  <c r="B270" i="17" s="1"/>
  <c r="B271" i="17" s="1"/>
  <c r="B272" i="17" s="1"/>
  <c r="B273" i="17" s="1"/>
  <c r="B274" i="17" s="1"/>
  <c r="B275" i="17" s="1"/>
  <c r="B276" i="17" s="1"/>
  <c r="B277" i="17" s="1"/>
  <c r="B278" i="17" s="1"/>
  <c r="B279" i="17" s="1"/>
  <c r="B280" i="17" s="1"/>
  <c r="B281" i="17" s="1"/>
  <c r="B282" i="17" s="1"/>
  <c r="B283" i="17" s="1"/>
  <c r="B284" i="17" s="1"/>
  <c r="B285" i="17" s="1"/>
  <c r="B286" i="17" s="1"/>
  <c r="B287" i="17" s="1"/>
  <c r="B288" i="17" s="1"/>
  <c r="B289" i="17" s="1"/>
  <c r="B290" i="17" s="1"/>
  <c r="B291" i="17" s="1"/>
  <c r="B292" i="17" s="1"/>
  <c r="B293" i="17" s="1"/>
  <c r="B294" i="17" s="1"/>
  <c r="B295" i="17" s="1"/>
  <c r="B296" i="17" s="1"/>
  <c r="B297" i="17" s="1"/>
  <c r="B298" i="17" s="1"/>
  <c r="B299" i="17" s="1"/>
  <c r="B300" i="17" s="1"/>
  <c r="B301" i="17" s="1"/>
  <c r="B302" i="17" s="1"/>
  <c r="B303" i="17" s="1"/>
  <c r="B304" i="17" s="1"/>
  <c r="B305" i="17" s="1"/>
  <c r="B306" i="17" s="1"/>
  <c r="B307" i="17" s="1"/>
  <c r="B308" i="17" s="1"/>
  <c r="B309" i="17" s="1"/>
  <c r="B310" i="17" s="1"/>
  <c r="B311" i="17" s="1"/>
  <c r="B312" i="17" s="1"/>
  <c r="B313" i="17" s="1"/>
  <c r="B314" i="17" s="1"/>
  <c r="B315" i="17" s="1"/>
  <c r="B316" i="17" s="1"/>
  <c r="B317" i="17" s="1"/>
  <c r="B318" i="17" s="1"/>
  <c r="B319" i="17" s="1"/>
  <c r="B72" i="36"/>
  <c r="H70" i="36"/>
  <c r="F894" i="18"/>
  <c r="I864" i="18"/>
  <c r="I865" i="18" s="1"/>
  <c r="H749" i="18"/>
  <c r="H779" i="18" s="1"/>
  <c r="I93" i="24"/>
  <c r="O92" i="15"/>
  <c r="I93" i="15" s="1"/>
  <c r="B77" i="13"/>
  <c r="L20" i="3"/>
  <c r="V116" i="3"/>
  <c r="V117" i="3"/>
  <c r="F166" i="1"/>
  <c r="I166" i="1"/>
  <c r="L19" i="3"/>
  <c r="E59" i="1"/>
  <c r="I5" i="5"/>
  <c r="U112" i="3" s="1"/>
  <c r="B96" i="5" s="1"/>
  <c r="C39" i="23"/>
  <c r="B15" i="23"/>
  <c r="D39" i="23" s="1"/>
  <c r="D52" i="23" s="1"/>
  <c r="F82" i="24"/>
  <c r="F86" i="24" s="1"/>
  <c r="I7" i="26"/>
  <c r="H47" i="36"/>
  <c r="I47" i="36" s="1"/>
  <c r="C98" i="17"/>
  <c r="C99" i="17" s="1"/>
  <c r="C100" i="17" s="1"/>
  <c r="C101" i="17" s="1"/>
  <c r="C102" i="17" s="1"/>
  <c r="C103" i="17" s="1"/>
  <c r="C104" i="17" s="1"/>
  <c r="C105" i="17" s="1"/>
  <c r="C106" i="17" s="1"/>
  <c r="C107" i="17" s="1"/>
  <c r="K13" i="20"/>
  <c r="F93" i="24"/>
  <c r="I70" i="36"/>
  <c r="I1220" i="18"/>
  <c r="I16" i="26"/>
  <c r="K16" i="26" s="1"/>
  <c r="I86" i="24"/>
  <c r="I82" i="24"/>
  <c r="H117" i="6"/>
  <c r="I117" i="6" s="1"/>
  <c r="D82" i="21"/>
  <c r="I7" i="27"/>
  <c r="K7" i="26"/>
  <c r="H115" i="22"/>
  <c r="H224" i="21"/>
  <c r="K224" i="21" s="1"/>
  <c r="H73" i="13"/>
  <c r="I73" i="13" s="1"/>
  <c r="H70" i="12"/>
  <c r="H75" i="10"/>
  <c r="H75" i="9"/>
  <c r="H133" i="7"/>
  <c r="J133" i="7" s="1"/>
  <c r="H135" i="8"/>
  <c r="I135" i="8" s="1"/>
  <c r="H126" i="6"/>
  <c r="H79" i="5"/>
  <c r="H85" i="4"/>
  <c r="H232" i="2"/>
  <c r="H178" i="2"/>
  <c r="I178" i="2" s="1"/>
  <c r="H119" i="2"/>
  <c r="I119" i="2" s="1"/>
  <c r="H65" i="2"/>
  <c r="H148" i="23"/>
  <c r="H133" i="8"/>
  <c r="I133" i="8" s="1"/>
  <c r="H115" i="6"/>
  <c r="H100" i="5"/>
  <c r="I100" i="5" s="1"/>
  <c r="H106" i="4"/>
  <c r="I106" i="4" s="1"/>
  <c r="H52" i="22"/>
  <c r="I52" i="22" s="1"/>
  <c r="H46" i="13"/>
  <c r="H56" i="4"/>
  <c r="H63" i="23"/>
  <c r="I63" i="23" s="1"/>
  <c r="H96" i="21"/>
  <c r="K96" i="21" s="1"/>
  <c r="H48" i="12"/>
  <c r="H55" i="5"/>
  <c r="I55" i="5" s="1"/>
  <c r="H49" i="10"/>
  <c r="H52" i="9"/>
  <c r="I52" i="9" s="1"/>
  <c r="H8" i="7"/>
  <c r="J8" i="7" s="1"/>
  <c r="H46" i="6"/>
  <c r="I46" i="6" s="1"/>
  <c r="H214" i="2"/>
  <c r="I214" i="2" s="1"/>
  <c r="H101" i="2"/>
  <c r="I101" i="2" s="1"/>
  <c r="H62" i="23"/>
  <c r="I62" i="23" s="1"/>
  <c r="H51" i="22"/>
  <c r="I51" i="22" s="1"/>
  <c r="H95" i="21"/>
  <c r="K95" i="21" s="1"/>
  <c r="H45" i="13"/>
  <c r="I45" i="13" s="1"/>
  <c r="H47" i="12"/>
  <c r="I47" i="12" s="1"/>
  <c r="H14" i="8"/>
  <c r="I14" i="8" s="1"/>
  <c r="H54" i="5"/>
  <c r="I54" i="5" s="1"/>
  <c r="H55" i="4"/>
  <c r="I55" i="4" s="1"/>
  <c r="H160" i="2"/>
  <c r="I160" i="2" s="1"/>
  <c r="H47" i="2"/>
  <c r="I47" i="2" s="1"/>
  <c r="V114" i="3"/>
  <c r="L17" i="3"/>
  <c r="E51" i="23"/>
  <c r="E54" i="24"/>
  <c r="L18" i="3"/>
  <c r="V115" i="3"/>
  <c r="D54" i="24"/>
  <c r="L25" i="3"/>
  <c r="L30" i="3" s="1"/>
  <c r="L16" i="3"/>
  <c r="L21" i="3" s="1"/>
  <c r="I77" i="13" s="1"/>
  <c r="V113" i="3"/>
  <c r="S112" i="3"/>
  <c r="R113" i="3" s="1"/>
  <c r="S113" i="3" s="1"/>
  <c r="R114" i="3" s="1"/>
  <c r="S114" i="3" s="1"/>
  <c r="H59" i="1"/>
  <c r="G31" i="1"/>
  <c r="G30" i="1"/>
  <c r="G41" i="1"/>
  <c r="E67" i="1"/>
  <c r="H67" i="1"/>
  <c r="H36" i="3"/>
  <c r="I36" i="3" s="1"/>
  <c r="L114" i="3"/>
  <c r="M114" i="3" s="1"/>
  <c r="C163" i="3"/>
  <c r="D163" i="3" s="1"/>
  <c r="F43" i="24"/>
  <c r="F54" i="24" s="1"/>
  <c r="C42" i="24"/>
  <c r="C43" i="24" s="1"/>
  <c r="G146" i="23"/>
  <c r="G84" i="23"/>
  <c r="C87" i="23"/>
  <c r="G87" i="23" s="1"/>
  <c r="G85" i="23"/>
  <c r="C88" i="23"/>
  <c r="G88" i="23" s="1"/>
  <c r="C41" i="23"/>
  <c r="G115" i="22"/>
  <c r="E53" i="22"/>
  <c r="G53" i="22" s="1"/>
  <c r="I53" i="22" s="1"/>
  <c r="G103" i="22"/>
  <c r="D134" i="21"/>
  <c r="G133" i="21"/>
  <c r="E73" i="21"/>
  <c r="E82" i="21" s="1"/>
  <c r="C73" i="21"/>
  <c r="C82" i="21" s="1"/>
  <c r="I984" i="18"/>
  <c r="I985" i="18" s="1"/>
  <c r="H1667" i="18"/>
  <c r="I1643" i="18"/>
  <c r="G1645" i="18" s="1"/>
  <c r="I1645" i="18" s="1"/>
  <c r="I1646" i="18" s="1"/>
  <c r="G1679" i="18" s="1"/>
  <c r="H1632" i="18"/>
  <c r="I1632" i="18" s="1"/>
  <c r="D1643" i="18"/>
  <c r="D1632" i="18"/>
  <c r="I192" i="18"/>
  <c r="G200" i="18"/>
  <c r="I200" i="18" s="1"/>
  <c r="H1754" i="18"/>
  <c r="I1754" i="18" s="1"/>
  <c r="I1704" i="18"/>
  <c r="G1699" i="18"/>
  <c r="I1699" i="18" s="1"/>
  <c r="G1684" i="18"/>
  <c r="I1684" i="18" s="1"/>
  <c r="I1683" i="18"/>
  <c r="I179" i="18"/>
  <c r="G1916" i="18"/>
  <c r="G1917" i="18" s="1"/>
  <c r="H1753" i="18"/>
  <c r="I1703" i="18"/>
  <c r="I1542" i="18"/>
  <c r="I1543" i="18" s="1"/>
  <c r="I312" i="18"/>
  <c r="I314" i="18" s="1"/>
  <c r="B541" i="18"/>
  <c r="B557" i="18" s="1"/>
  <c r="I677" i="18"/>
  <c r="I676" i="18"/>
  <c r="I186" i="18"/>
  <c r="I187" i="18" s="1"/>
  <c r="G194" i="18"/>
  <c r="I1923" i="18"/>
  <c r="I2029" i="18"/>
  <c r="H2105" i="18"/>
  <c r="I1586" i="18"/>
  <c r="D94" i="17"/>
  <c r="G93" i="17"/>
  <c r="G53" i="12"/>
  <c r="E53" i="12"/>
  <c r="G51" i="12"/>
  <c r="E51" i="12"/>
  <c r="G55" i="12"/>
  <c r="E55" i="12"/>
  <c r="F63" i="12"/>
  <c r="G63" i="12" s="1"/>
  <c r="G64" i="12" s="1"/>
  <c r="F61" i="10"/>
  <c r="E71" i="10"/>
  <c r="D61" i="10"/>
  <c r="E51" i="10"/>
  <c r="G49" i="10"/>
  <c r="F71" i="10"/>
  <c r="E61" i="10"/>
  <c r="F72" i="9"/>
  <c r="G72" i="9"/>
  <c r="G73" i="9" s="1"/>
  <c r="E58" i="9"/>
  <c r="G58" i="9" s="1"/>
  <c r="G56" i="9"/>
  <c r="C80" i="6"/>
  <c r="G76" i="6"/>
  <c r="G77" i="6" s="1"/>
  <c r="C105" i="6"/>
  <c r="C93" i="6"/>
  <c r="G91" i="6"/>
  <c r="C114" i="6"/>
  <c r="G114" i="6" s="1"/>
  <c r="G115" i="6" s="1"/>
  <c r="G68" i="5"/>
  <c r="D70" i="5"/>
  <c r="G70" i="5" s="1"/>
  <c r="G73" i="5" s="1"/>
  <c r="F82" i="5"/>
  <c r="G82" i="5" s="1"/>
  <c r="G83" i="5" s="1"/>
  <c r="F88" i="4"/>
  <c r="G88" i="4" s="1"/>
  <c r="G87" i="4"/>
  <c r="F87" i="4"/>
  <c r="D76" i="4"/>
  <c r="G76" i="4" s="1"/>
  <c r="G79" i="4" s="1"/>
  <c r="D74" i="4"/>
  <c r="G74" i="4" s="1"/>
  <c r="G73" i="4"/>
  <c r="G56" i="4"/>
  <c r="I56" i="4" s="1"/>
  <c r="D57" i="4"/>
  <c r="G81" i="4"/>
  <c r="F81" i="4"/>
  <c r="I24" i="3"/>
  <c r="F48" i="36" s="1"/>
  <c r="G48" i="36" s="1"/>
  <c r="I48" i="36" s="1"/>
  <c r="O112" i="3"/>
  <c r="N113" i="3" s="1"/>
  <c r="O113" i="3" s="1"/>
  <c r="H43" i="3"/>
  <c r="I43" i="3" s="1"/>
  <c r="C145" i="3"/>
  <c r="D145" i="3" s="1"/>
  <c r="C146" i="3" s="1"/>
  <c r="D146" i="3" s="1"/>
  <c r="C48" i="3"/>
  <c r="D49" i="3" s="1"/>
  <c r="D50" i="3" s="1"/>
  <c r="C131" i="3"/>
  <c r="D131" i="3" s="1"/>
  <c r="C132" i="3" s="1"/>
  <c r="D132" i="3" s="1"/>
  <c r="G232" i="2"/>
  <c r="F60" i="2"/>
  <c r="G60" i="2" s="1"/>
  <c r="F61" i="2"/>
  <c r="G61" i="2" s="1"/>
  <c r="G55" i="2"/>
  <c r="G57" i="2" s="1"/>
  <c r="I17" i="27" l="1"/>
  <c r="F924" i="18"/>
  <c r="I924" i="18" s="1"/>
  <c r="I925" i="18" s="1"/>
  <c r="I894" i="18"/>
  <c r="I895" i="18" s="1"/>
  <c r="I232" i="2"/>
  <c r="I115" i="6"/>
  <c r="I49" i="10"/>
  <c r="H750" i="18"/>
  <c r="H780" i="18" s="1"/>
  <c r="I115" i="22"/>
  <c r="V118" i="3"/>
  <c r="I96" i="5" s="1"/>
  <c r="D51" i="23"/>
  <c r="C52" i="23"/>
  <c r="F39" i="23"/>
  <c r="G32" i="1"/>
  <c r="G33" i="1" s="1"/>
  <c r="G34" i="1" s="1"/>
  <c r="G36" i="1" s="1"/>
  <c r="F12" i="20"/>
  <c r="K12" i="20" s="1"/>
  <c r="F11" i="20"/>
  <c r="C108" i="17"/>
  <c r="C109" i="17" s="1"/>
  <c r="C110" i="17" s="1"/>
  <c r="C111" i="17" s="1"/>
  <c r="C112" i="17" s="1"/>
  <c r="C113" i="17" s="1"/>
  <c r="C114" i="17" s="1"/>
  <c r="C115" i="17" s="1"/>
  <c r="C116" i="17" s="1"/>
  <c r="C117" i="17" s="1"/>
  <c r="C118" i="17" s="1"/>
  <c r="C119" i="17" s="1"/>
  <c r="C120" i="17" s="1"/>
  <c r="C121" i="17" s="1"/>
  <c r="C122" i="17" s="1"/>
  <c r="C123" i="17" s="1"/>
  <c r="C124" i="17" s="1"/>
  <c r="C125" i="17" s="1"/>
  <c r="C126" i="17" s="1"/>
  <c r="C127" i="17" s="1"/>
  <c r="C128" i="17" s="1"/>
  <c r="C129" i="17" s="1"/>
  <c r="C130" i="17" s="1"/>
  <c r="C131" i="17" s="1"/>
  <c r="C132" i="17" s="1"/>
  <c r="C133" i="17" s="1"/>
  <c r="C134" i="17" s="1"/>
  <c r="C135" i="17" s="1"/>
  <c r="C136" i="17" s="1"/>
  <c r="C137" i="17" s="1"/>
  <c r="C138" i="17" s="1"/>
  <c r="C139" i="17" s="1"/>
  <c r="C140" i="17" s="1"/>
  <c r="C141" i="17" s="1"/>
  <c r="C142" i="17" s="1"/>
  <c r="C143" i="17" s="1"/>
  <c r="C144" i="17" s="1"/>
  <c r="C145" i="17" s="1"/>
  <c r="C146" i="17" s="1"/>
  <c r="C147" i="17" s="1"/>
  <c r="C148" i="17" s="1"/>
  <c r="C149" i="17" s="1"/>
  <c r="C150" i="17" s="1"/>
  <c r="C151" i="17" s="1"/>
  <c r="C152" i="17" s="1"/>
  <c r="C153" i="17" s="1"/>
  <c r="C154" i="17" s="1"/>
  <c r="C155" i="17" s="1"/>
  <c r="C156" i="17" s="1"/>
  <c r="C157" i="17" s="1"/>
  <c r="C158" i="17" s="1"/>
  <c r="C159" i="17" s="1"/>
  <c r="C160" i="17" s="1"/>
  <c r="C161" i="17" s="1"/>
  <c r="C162" i="17" s="1"/>
  <c r="C163" i="17" s="1"/>
  <c r="C164" i="17" s="1"/>
  <c r="C165" i="17" s="1"/>
  <c r="C166" i="17" s="1"/>
  <c r="C167" i="17" s="1"/>
  <c r="C168" i="17" s="1"/>
  <c r="C169" i="17" s="1"/>
  <c r="C170" i="17" s="1"/>
  <c r="C171" i="17" s="1"/>
  <c r="C172" i="17" s="1"/>
  <c r="C173" i="17" s="1"/>
  <c r="C174" i="17" s="1"/>
  <c r="C175" i="17" s="1"/>
  <c r="C176" i="17" s="1"/>
  <c r="C177" i="17" s="1"/>
  <c r="C178" i="17" s="1"/>
  <c r="C179" i="17" s="1"/>
  <c r="C180" i="17" s="1"/>
  <c r="C181" i="17" s="1"/>
  <c r="C182" i="17" s="1"/>
  <c r="C183" i="17" s="1"/>
  <c r="C184" i="17" s="1"/>
  <c r="C185" i="17" s="1"/>
  <c r="C186" i="17" s="1"/>
  <c r="C187" i="17" s="1"/>
  <c r="C188" i="17" s="1"/>
  <c r="C189" i="17" s="1"/>
  <c r="C190" i="17" s="1"/>
  <c r="C191" i="17" s="1"/>
  <c r="C192" i="17" s="1"/>
  <c r="C193" i="17" s="1"/>
  <c r="C194" i="17" s="1"/>
  <c r="C195" i="17" s="1"/>
  <c r="C196" i="17" s="1"/>
  <c r="C197" i="17" s="1"/>
  <c r="C198" i="17" s="1"/>
  <c r="C199" i="17" s="1"/>
  <c r="C200" i="17" s="1"/>
  <c r="C201" i="17" s="1"/>
  <c r="C202" i="17" s="1"/>
  <c r="C203" i="17" s="1"/>
  <c r="C204" i="17" s="1"/>
  <c r="C205" i="17" s="1"/>
  <c r="C206" i="17" s="1"/>
  <c r="C207" i="17" s="1"/>
  <c r="C208" i="17" s="1"/>
  <c r="C209" i="17" s="1"/>
  <c r="C210" i="17" s="1"/>
  <c r="C211" i="17" s="1"/>
  <c r="C212" i="17" s="1"/>
  <c r="C213" i="17" s="1"/>
  <c r="C214" i="17" s="1"/>
  <c r="C215" i="17" s="1"/>
  <c r="C216" i="17" s="1"/>
  <c r="C217" i="17" s="1"/>
  <c r="C218" i="17" s="1"/>
  <c r="C219" i="17" s="1"/>
  <c r="C220" i="17" s="1"/>
  <c r="C221" i="17" s="1"/>
  <c r="C222" i="17" s="1"/>
  <c r="C223" i="17" s="1"/>
  <c r="C224" i="17" s="1"/>
  <c r="C225" i="17" s="1"/>
  <c r="C226" i="17" s="1"/>
  <c r="C227" i="17" s="1"/>
  <c r="C228" i="17" s="1"/>
  <c r="C229" i="17" s="1"/>
  <c r="C230" i="17" s="1"/>
  <c r="C231" i="17" s="1"/>
  <c r="C232" i="17" s="1"/>
  <c r="C233" i="17" s="1"/>
  <c r="C234" i="17" s="1"/>
  <c r="C235" i="17" s="1"/>
  <c r="C236" i="17" s="1"/>
  <c r="C237" i="17" s="1"/>
  <c r="C238" i="17" s="1"/>
  <c r="C239" i="17" s="1"/>
  <c r="C240" i="17" s="1"/>
  <c r="C241" i="17" s="1"/>
  <c r="C242" i="17" s="1"/>
  <c r="C243" i="17" s="1"/>
  <c r="C244" i="17" s="1"/>
  <c r="C245" i="17" s="1"/>
  <c r="C246" i="17" s="1"/>
  <c r="C247" i="17" s="1"/>
  <c r="C248" i="17" s="1"/>
  <c r="C249" i="17" s="1"/>
  <c r="C250" i="17" s="1"/>
  <c r="C251" i="17" s="1"/>
  <c r="C252" i="17" s="1"/>
  <c r="C253" i="17" s="1"/>
  <c r="C254" i="17" s="1"/>
  <c r="C255" i="17" s="1"/>
  <c r="C256" i="17" s="1"/>
  <c r="C257" i="17" s="1"/>
  <c r="C258" i="17" s="1"/>
  <c r="C259" i="17" s="1"/>
  <c r="C260" i="17" s="1"/>
  <c r="C261" i="17" s="1"/>
  <c r="C262" i="17" s="1"/>
  <c r="C263" i="17" s="1"/>
  <c r="C264" i="17" s="1"/>
  <c r="C265" i="17" s="1"/>
  <c r="C266" i="17" s="1"/>
  <c r="C267" i="17" s="1"/>
  <c r="C268" i="17" s="1"/>
  <c r="C269" i="17" s="1"/>
  <c r="C270" i="17" s="1"/>
  <c r="C271" i="17" s="1"/>
  <c r="C272" i="17" s="1"/>
  <c r="C273" i="17" s="1"/>
  <c r="C274" i="17" s="1"/>
  <c r="C275" i="17" s="1"/>
  <c r="C276" i="17" s="1"/>
  <c r="C277" i="17" s="1"/>
  <c r="C278" i="17" s="1"/>
  <c r="C279" i="17" s="1"/>
  <c r="C280" i="17" s="1"/>
  <c r="C281" i="17" s="1"/>
  <c r="C282" i="17" s="1"/>
  <c r="C283" i="17" s="1"/>
  <c r="C284" i="17" s="1"/>
  <c r="C285" i="17" s="1"/>
  <c r="C286" i="17" s="1"/>
  <c r="C287" i="17" s="1"/>
  <c r="C288" i="17" s="1"/>
  <c r="C289" i="17" s="1"/>
  <c r="C290" i="17" s="1"/>
  <c r="C291" i="17" s="1"/>
  <c r="C292" i="17" s="1"/>
  <c r="C293" i="17" s="1"/>
  <c r="C294" i="17" s="1"/>
  <c r="C295" i="17" s="1"/>
  <c r="C296" i="17" s="1"/>
  <c r="C297" i="17" s="1"/>
  <c r="C298" i="17" s="1"/>
  <c r="C299" i="17" s="1"/>
  <c r="C300" i="17" s="1"/>
  <c r="C301" i="17" s="1"/>
  <c r="C302" i="17" s="1"/>
  <c r="C303" i="17" s="1"/>
  <c r="C304" i="17" s="1"/>
  <c r="C305" i="17" s="1"/>
  <c r="C306" i="17" s="1"/>
  <c r="C307" i="17" s="1"/>
  <c r="C308" i="17" s="1"/>
  <c r="C309" i="17" s="1"/>
  <c r="C310" i="17" s="1"/>
  <c r="C311" i="17" s="1"/>
  <c r="C312" i="17" s="1"/>
  <c r="C313" i="17" s="1"/>
  <c r="C314" i="17" s="1"/>
  <c r="C315" i="17" s="1"/>
  <c r="C316" i="17" s="1"/>
  <c r="C317" i="17" s="1"/>
  <c r="C318" i="17" s="1"/>
  <c r="C319" i="17" s="1"/>
  <c r="K11" i="20"/>
  <c r="H1783" i="18"/>
  <c r="I1783" i="18" s="1"/>
  <c r="I1786" i="18" s="1"/>
  <c r="I1805" i="18" s="1"/>
  <c r="I1809" i="18" s="1"/>
  <c r="I1810" i="18" s="1"/>
  <c r="I1811" i="18" s="1"/>
  <c r="I1812" i="18" s="1"/>
  <c r="H98" i="11" s="1"/>
  <c r="I98" i="11" s="1"/>
  <c r="G26" i="18"/>
  <c r="I26" i="18" s="1"/>
  <c r="I29" i="18" s="1"/>
  <c r="I30" i="18" s="1"/>
  <c r="I72" i="12"/>
  <c r="I72" i="36"/>
  <c r="H25" i="3"/>
  <c r="I25" i="3" s="1"/>
  <c r="F48" i="12"/>
  <c r="G48" i="12" s="1"/>
  <c r="I48" i="12" s="1"/>
  <c r="C54" i="24"/>
  <c r="G54" i="24" s="1"/>
  <c r="I95" i="24" s="1"/>
  <c r="O99" i="24" s="1"/>
  <c r="I101" i="24" s="1"/>
  <c r="I678" i="18"/>
  <c r="I679" i="18" s="1"/>
  <c r="H68" i="36" s="1"/>
  <c r="I68" i="36" s="1"/>
  <c r="B71" i="16"/>
  <c r="B65" i="16"/>
  <c r="C65" i="16"/>
  <c r="B68" i="16"/>
  <c r="I7" i="28"/>
  <c r="K7" i="27"/>
  <c r="I17" i="28"/>
  <c r="K17" i="27"/>
  <c r="H47" i="13"/>
  <c r="I47" i="13" s="1"/>
  <c r="I46" i="13"/>
  <c r="F56" i="5"/>
  <c r="G56" i="5" s="1"/>
  <c r="I56" i="5" s="1"/>
  <c r="G82" i="21"/>
  <c r="K226" i="21" s="1"/>
  <c r="G63" i="2"/>
  <c r="C42" i="23"/>
  <c r="C51" i="23" s="1"/>
  <c r="G148" i="23"/>
  <c r="I148" i="23" s="1"/>
  <c r="D135" i="21"/>
  <c r="G134" i="21"/>
  <c r="I1594" i="18"/>
  <c r="G1587" i="18"/>
  <c r="H2154" i="18"/>
  <c r="I2105" i="18"/>
  <c r="I2107" i="18" s="1"/>
  <c r="I194" i="18"/>
  <c r="I195" i="18" s="1"/>
  <c r="G210" i="18"/>
  <c r="I210" i="18" s="1"/>
  <c r="G202" i="18"/>
  <c r="I202" i="18" s="1"/>
  <c r="I203" i="18" s="1"/>
  <c r="I1753" i="18"/>
  <c r="I1755" i="18" s="1"/>
  <c r="H1862" i="18"/>
  <c r="D1634" i="18"/>
  <c r="I1634" i="18"/>
  <c r="F1718" i="18"/>
  <c r="I1673" i="18"/>
  <c r="I1674" i="18" s="1"/>
  <c r="I1712" i="18" s="1"/>
  <c r="I1544" i="18"/>
  <c r="I1545" i="18" s="1"/>
  <c r="I1546" i="18" s="1"/>
  <c r="H72" i="11" s="1"/>
  <c r="G1697" i="18"/>
  <c r="I1697" i="18" s="1"/>
  <c r="I1705" i="18" s="1"/>
  <c r="G1680" i="18"/>
  <c r="I1680" i="18" s="1"/>
  <c r="I1679" i="18"/>
  <c r="I315" i="18"/>
  <c r="D95" i="17"/>
  <c r="G94" i="17"/>
  <c r="G70" i="12"/>
  <c r="I70" i="12" s="1"/>
  <c r="G61" i="10"/>
  <c r="E53" i="10"/>
  <c r="G53" i="10" s="1"/>
  <c r="G51" i="10"/>
  <c r="G71" i="10"/>
  <c r="G73" i="10" s="1"/>
  <c r="G75" i="9"/>
  <c r="I75" i="9" s="1"/>
  <c r="C84" i="6"/>
  <c r="G84" i="6" s="1"/>
  <c r="G85" i="6" s="1"/>
  <c r="G80" i="6"/>
  <c r="G81" i="6" s="1"/>
  <c r="C94" i="6"/>
  <c r="G94" i="6" s="1"/>
  <c r="G93" i="6"/>
  <c r="G96" i="6" s="1"/>
  <c r="G79" i="5"/>
  <c r="I79" i="5" s="1"/>
  <c r="G89" i="4"/>
  <c r="G85" i="4"/>
  <c r="I85" i="4" s="1"/>
  <c r="D58" i="4"/>
  <c r="G57" i="4"/>
  <c r="I57" i="4" s="1"/>
  <c r="N114" i="3"/>
  <c r="O114" i="3" s="1"/>
  <c r="H26" i="3"/>
  <c r="I26" i="3" s="1"/>
  <c r="G65" i="2"/>
  <c r="I65" i="2" s="1"/>
  <c r="H751" i="18" l="1"/>
  <c r="H781" i="18" s="1"/>
  <c r="G40" i="1"/>
  <c r="G42" i="1" s="1"/>
  <c r="G45" i="1" s="1"/>
  <c r="G1" i="11"/>
  <c r="F52" i="23"/>
  <c r="G52" i="23" s="1"/>
  <c r="I160" i="23" s="1"/>
  <c r="F51" i="23"/>
  <c r="G51" i="23" s="1"/>
  <c r="I159" i="23" s="1"/>
  <c r="I161" i="23" s="1"/>
  <c r="F378" i="18"/>
  <c r="G36" i="18"/>
  <c r="I36" i="18" s="1"/>
  <c r="G102" i="18"/>
  <c r="F684" i="18"/>
  <c r="I684" i="18" s="1"/>
  <c r="F363" i="18"/>
  <c r="I363" i="18" s="1"/>
  <c r="G2049" i="18"/>
  <c r="I2049" i="18" s="1"/>
  <c r="G52" i="18"/>
  <c r="I52" i="18" s="1"/>
  <c r="H53" i="12"/>
  <c r="I53" i="12" s="1"/>
  <c r="H51" i="2"/>
  <c r="I51" i="2" s="1"/>
  <c r="H62" i="4"/>
  <c r="I62" i="4" s="1"/>
  <c r="H53" i="10"/>
  <c r="H164" i="2"/>
  <c r="I164" i="2" s="1"/>
  <c r="H68" i="23"/>
  <c r="I68" i="23" s="1"/>
  <c r="H218" i="2"/>
  <c r="I218" i="2" s="1"/>
  <c r="H56" i="9"/>
  <c r="I56" i="9" s="1"/>
  <c r="H22" i="8"/>
  <c r="I22" i="8" s="1"/>
  <c r="H53" i="36"/>
  <c r="I53" i="36" s="1"/>
  <c r="H51" i="6"/>
  <c r="I51" i="6" s="1"/>
  <c r="H105" i="2"/>
  <c r="I105" i="2" s="1"/>
  <c r="H58" i="5"/>
  <c r="I58" i="5" s="1"/>
  <c r="H100" i="21"/>
  <c r="K100" i="21" s="1"/>
  <c r="H51" i="13"/>
  <c r="I51" i="13" s="1"/>
  <c r="G208" i="18"/>
  <c r="I208" i="18" s="1"/>
  <c r="G177" i="18"/>
  <c r="I177" i="18" s="1"/>
  <c r="I180" i="18" s="1"/>
  <c r="G67" i="18"/>
  <c r="I67" i="18" s="1"/>
  <c r="H1954" i="18"/>
  <c r="I1954" i="18" s="1"/>
  <c r="I1957" i="18" s="1"/>
  <c r="I1981" i="18" s="1"/>
  <c r="G201" i="18"/>
  <c r="I201" i="18" s="1"/>
  <c r="I204" i="18" s="1"/>
  <c r="G89" i="18"/>
  <c r="I89" i="18" s="1"/>
  <c r="I95" i="18" s="1"/>
  <c r="I96" i="18" s="1"/>
  <c r="G193" i="18"/>
  <c r="I193" i="18" s="1"/>
  <c r="I196" i="18" s="1"/>
  <c r="G78" i="18"/>
  <c r="I78" i="18" s="1"/>
  <c r="H2012" i="18"/>
  <c r="I2012" i="18" s="1"/>
  <c r="I2014" i="18" s="1"/>
  <c r="I2037" i="18" s="1"/>
  <c r="F346" i="18"/>
  <c r="G185" i="18"/>
  <c r="I185" i="18" s="1"/>
  <c r="I188" i="18" s="1"/>
  <c r="I53" i="10"/>
  <c r="F49" i="12"/>
  <c r="G49" i="12" s="1"/>
  <c r="I49" i="12" s="1"/>
  <c r="F49" i="36"/>
  <c r="G49" i="36" s="1"/>
  <c r="I49" i="36" s="1"/>
  <c r="I1692" i="18"/>
  <c r="I1713" i="18" s="1"/>
  <c r="C68" i="16"/>
  <c r="C71" i="16"/>
  <c r="C72" i="16"/>
  <c r="I7" i="29"/>
  <c r="K7" i="28"/>
  <c r="I17" i="29"/>
  <c r="K17" i="28"/>
  <c r="H103" i="22"/>
  <c r="I103" i="22" s="1"/>
  <c r="H211" i="21"/>
  <c r="K211" i="21" s="1"/>
  <c r="H146" i="7"/>
  <c r="J146" i="7" s="1"/>
  <c r="H119" i="6"/>
  <c r="I119" i="6" s="1"/>
  <c r="H91" i="5"/>
  <c r="I91" i="5" s="1"/>
  <c r="H97" i="4"/>
  <c r="I97" i="4" s="1"/>
  <c r="H146" i="23"/>
  <c r="I146" i="23" s="1"/>
  <c r="H126" i="8"/>
  <c r="I126" i="8" s="1"/>
  <c r="I72" i="11"/>
  <c r="H71" i="13"/>
  <c r="I71" i="13" s="1"/>
  <c r="H68" i="12"/>
  <c r="I68" i="12" s="1"/>
  <c r="H73" i="10"/>
  <c r="I73" i="10" s="1"/>
  <c r="H73" i="9"/>
  <c r="I73" i="9" s="1"/>
  <c r="D138" i="21"/>
  <c r="D136" i="21"/>
  <c r="G135" i="21"/>
  <c r="I1763" i="18"/>
  <c r="G1756" i="18"/>
  <c r="I212" i="18"/>
  <c r="I213" i="18" s="1"/>
  <c r="I2115" i="18"/>
  <c r="G2108" i="18"/>
  <c r="G1588" i="18"/>
  <c r="G1589" i="18" s="1"/>
  <c r="B623" i="18"/>
  <c r="B672" i="18" s="1"/>
  <c r="B988" i="18" s="1"/>
  <c r="F336" i="18"/>
  <c r="I336" i="18" s="1"/>
  <c r="I342" i="18" s="1"/>
  <c r="G253" i="18"/>
  <c r="I253" i="18" s="1"/>
  <c r="I218" i="18"/>
  <c r="I1714" i="18"/>
  <c r="I1715" i="18" s="1"/>
  <c r="G1707" i="18"/>
  <c r="D1636" i="18"/>
  <c r="I1636" i="18"/>
  <c r="H1638" i="18" s="1"/>
  <c r="I1862" i="18"/>
  <c r="I1865" i="18" s="1"/>
  <c r="H1970" i="18"/>
  <c r="F2192" i="18"/>
  <c r="I2154" i="18"/>
  <c r="I1595" i="18"/>
  <c r="I1596" i="18" s="1"/>
  <c r="D96" i="17"/>
  <c r="G95" i="17"/>
  <c r="G75" i="10"/>
  <c r="I75" i="10" s="1"/>
  <c r="G126" i="6"/>
  <c r="I126" i="6" s="1"/>
  <c r="D59" i="4"/>
  <c r="G59" i="4" s="1"/>
  <c r="I59" i="4" s="1"/>
  <c r="G58" i="4"/>
  <c r="I58" i="4" s="1"/>
  <c r="H752" i="18" l="1"/>
  <c r="H782" i="18" s="1"/>
  <c r="I45" i="1"/>
  <c r="I5" i="4"/>
  <c r="J112" i="3" s="1"/>
  <c r="D48" i="1"/>
  <c r="G46" i="1"/>
  <c r="E48" i="1" s="1"/>
  <c r="H45" i="1"/>
  <c r="I1706" i="18"/>
  <c r="I1707" i="18" s="1"/>
  <c r="I1708" i="18" s="1"/>
  <c r="I1709" i="18" s="1"/>
  <c r="I102" i="18"/>
  <c r="G117" i="18"/>
  <c r="I378" i="18"/>
  <c r="F393" i="18"/>
  <c r="I346" i="18"/>
  <c r="I349" i="18" s="1"/>
  <c r="I350" i="18" s="1"/>
  <c r="F355" i="18"/>
  <c r="I355" i="18" s="1"/>
  <c r="I358" i="18" s="1"/>
  <c r="I359" i="18" s="1"/>
  <c r="H79" i="8"/>
  <c r="I79" i="8" s="1"/>
  <c r="H96" i="6"/>
  <c r="G254" i="18"/>
  <c r="I254" i="18" s="1"/>
  <c r="F218" i="18"/>
  <c r="I1716" i="18"/>
  <c r="I1717" i="18" s="1"/>
  <c r="I1718" i="18" s="1"/>
  <c r="I1719" i="18" s="1"/>
  <c r="H77" i="11" s="1"/>
  <c r="I77" i="11" s="1"/>
  <c r="C73" i="16"/>
  <c r="C74" i="16" s="1"/>
  <c r="C76" i="16" s="1"/>
  <c r="C75" i="16" s="1"/>
  <c r="E76" i="16" s="1"/>
  <c r="F76" i="16" s="1"/>
  <c r="I6" i="30"/>
  <c r="K7" i="29"/>
  <c r="I20" i="30"/>
  <c r="K17" i="29"/>
  <c r="H103" i="8"/>
  <c r="I103" i="8" s="1"/>
  <c r="H107" i="6"/>
  <c r="I107" i="6" s="1"/>
  <c r="I214" i="18"/>
  <c r="H98" i="6" s="1"/>
  <c r="I98" i="6" s="1"/>
  <c r="D141" i="21"/>
  <c r="G138" i="21"/>
  <c r="D139" i="21"/>
  <c r="D137" i="21"/>
  <c r="G136" i="21"/>
  <c r="I1597" i="18"/>
  <c r="I1598" i="18" s="1"/>
  <c r="I1599" i="18" s="1"/>
  <c r="H70" i="11" s="1"/>
  <c r="I70" i="11" s="1"/>
  <c r="I1970" i="18"/>
  <c r="I1975" i="18" s="1"/>
  <c r="H2027" i="18"/>
  <c r="G1708" i="18"/>
  <c r="G1709" i="18" s="1"/>
  <c r="I222" i="18"/>
  <c r="I223" i="18" s="1"/>
  <c r="G2109" i="18"/>
  <c r="G2110" i="18" s="1"/>
  <c r="G1757" i="18"/>
  <c r="G1758" i="18" s="1"/>
  <c r="F2186" i="18"/>
  <c r="H2186" i="18" s="1"/>
  <c r="H2187" i="18" s="1"/>
  <c r="H2192" i="18"/>
  <c r="H2193" i="18" s="1"/>
  <c r="I1873" i="18"/>
  <c r="G1866" i="18"/>
  <c r="I259" i="18"/>
  <c r="I260" i="18" s="1"/>
  <c r="I265" i="18" s="1"/>
  <c r="I270" i="18" s="1"/>
  <c r="I2116" i="18"/>
  <c r="I2117" i="18" s="1"/>
  <c r="I1764" i="18"/>
  <c r="I1765" i="18" s="1"/>
  <c r="D97" i="17"/>
  <c r="G96" i="17"/>
  <c r="H753" i="18" l="1"/>
  <c r="H783" i="18" s="1"/>
  <c r="G145" i="1"/>
  <c r="D49" i="1"/>
  <c r="H46" i="1"/>
  <c r="E49" i="1" s="1"/>
  <c r="D50" i="1"/>
  <c r="I46" i="1"/>
  <c r="E50" i="1" s="1"/>
  <c r="B102" i="4"/>
  <c r="J116" i="3"/>
  <c r="J117" i="3"/>
  <c r="J114" i="3"/>
  <c r="J113" i="3"/>
  <c r="J115" i="3"/>
  <c r="F654" i="18"/>
  <c r="I654" i="18" s="1"/>
  <c r="I661" i="18" s="1"/>
  <c r="F664" i="18"/>
  <c r="I664" i="18" s="1"/>
  <c r="I670" i="18" s="1"/>
  <c r="F227" i="18"/>
  <c r="H218" i="18"/>
  <c r="H222" i="18" s="1"/>
  <c r="H223" i="18" s="1"/>
  <c r="G247" i="18" s="1"/>
  <c r="I247" i="18" s="1"/>
  <c r="H73" i="6"/>
  <c r="I73" i="6" s="1"/>
  <c r="I96" i="6"/>
  <c r="F405" i="18"/>
  <c r="I405" i="18" s="1"/>
  <c r="I393" i="18"/>
  <c r="G130" i="18"/>
  <c r="I130" i="18" s="1"/>
  <c r="I117" i="18"/>
  <c r="K7" i="31"/>
  <c r="M7" i="31" s="1"/>
  <c r="K6" i="30"/>
  <c r="K21" i="31"/>
  <c r="M21" i="31" s="1"/>
  <c r="K20" i="30"/>
  <c r="D142" i="21"/>
  <c r="G139" i="21"/>
  <c r="D144" i="21"/>
  <c r="G141" i="21"/>
  <c r="D140" i="21"/>
  <c r="G137" i="21"/>
  <c r="I1766" i="18"/>
  <c r="I1767" i="18" s="1"/>
  <c r="I1768" i="18" s="1"/>
  <c r="H80" i="11" s="1"/>
  <c r="I80" i="11" s="1"/>
  <c r="I2118" i="18"/>
  <c r="I2119" i="18" s="1"/>
  <c r="I2120" i="18" s="1"/>
  <c r="H102" i="11" s="1"/>
  <c r="I102" i="11" s="1"/>
  <c r="I1874" i="18"/>
  <c r="G1976" i="18"/>
  <c r="G1977" i="18" s="1"/>
  <c r="I1983" i="18"/>
  <c r="G1867" i="18"/>
  <c r="G1868" i="18" s="1"/>
  <c r="H2153" i="18"/>
  <c r="I2153" i="18" s="1"/>
  <c r="I2155" i="18" s="1"/>
  <c r="I2027" i="18"/>
  <c r="I2031" i="18" s="1"/>
  <c r="D98" i="17"/>
  <c r="G97" i="17"/>
  <c r="H754" i="18" l="1"/>
  <c r="H784" i="18" s="1"/>
  <c r="J118" i="3"/>
  <c r="I102" i="4" s="1"/>
  <c r="I147" i="1"/>
  <c r="F147" i="1"/>
  <c r="I227" i="18"/>
  <c r="I232" i="18" s="1"/>
  <c r="I233" i="18" s="1"/>
  <c r="H89" i="4" s="1"/>
  <c r="I89" i="4" s="1"/>
  <c r="H227" i="18"/>
  <c r="H232" i="18" s="1"/>
  <c r="H233" i="18" s="1"/>
  <c r="H64" i="36" s="1"/>
  <c r="I64" i="36" s="1"/>
  <c r="H66" i="36"/>
  <c r="I66" i="36" s="1"/>
  <c r="H66" i="12"/>
  <c r="I66" i="12" s="1"/>
  <c r="H176" i="2"/>
  <c r="I176" i="2" s="1"/>
  <c r="H143" i="7"/>
  <c r="J143" i="7" s="1"/>
  <c r="H66" i="13"/>
  <c r="I66" i="13" s="1"/>
  <c r="H230" i="2"/>
  <c r="I230" i="2" s="1"/>
  <c r="H113" i="22"/>
  <c r="I113" i="22" s="1"/>
  <c r="H144" i="23"/>
  <c r="I144" i="23" s="1"/>
  <c r="H97" i="22"/>
  <c r="I97" i="22" s="1"/>
  <c r="H69" i="9"/>
  <c r="I69" i="9" s="1"/>
  <c r="H63" i="2"/>
  <c r="I63" i="2" s="1"/>
  <c r="H95" i="4"/>
  <c r="I95" i="4" s="1"/>
  <c r="H68" i="10"/>
  <c r="I68" i="10" s="1"/>
  <c r="H117" i="2"/>
  <c r="I117" i="2" s="1"/>
  <c r="H89" i="5"/>
  <c r="I89" i="5" s="1"/>
  <c r="I237" i="18"/>
  <c r="I241" i="18" s="1"/>
  <c r="H109" i="6"/>
  <c r="I109" i="6" s="1"/>
  <c r="H64" i="12"/>
  <c r="I64" i="12" s="1"/>
  <c r="H66" i="10"/>
  <c r="I66" i="10" s="1"/>
  <c r="H67" i="9"/>
  <c r="I67" i="9" s="1"/>
  <c r="H105" i="8"/>
  <c r="I105" i="8" s="1"/>
  <c r="H83" i="5"/>
  <c r="I83" i="5" s="1"/>
  <c r="H195" i="21"/>
  <c r="K195" i="21" s="1"/>
  <c r="D143" i="21"/>
  <c r="G140" i="21"/>
  <c r="D147" i="21"/>
  <c r="G144" i="21"/>
  <c r="D145" i="21"/>
  <c r="G142" i="21"/>
  <c r="G2032" i="18"/>
  <c r="G2033" i="18" s="1"/>
  <c r="I2039" i="18"/>
  <c r="G1978" i="18"/>
  <c r="I2163" i="18"/>
  <c r="J2156" i="18"/>
  <c r="I1984" i="18"/>
  <c r="I1985" i="18" s="1"/>
  <c r="D99" i="17"/>
  <c r="G98" i="17"/>
  <c r="H64" i="13" l="1"/>
  <c r="I64" i="13" s="1"/>
  <c r="H136" i="23"/>
  <c r="I136" i="23" s="1"/>
  <c r="H101" i="22"/>
  <c r="I101" i="22" s="1"/>
  <c r="H755" i="18"/>
  <c r="H785" i="18" s="1"/>
  <c r="D148" i="21"/>
  <c r="G145" i="21"/>
  <c r="D150" i="21"/>
  <c r="G147" i="21"/>
  <c r="D146" i="21"/>
  <c r="G143" i="21"/>
  <c r="I2164" i="18"/>
  <c r="I2165" i="18" s="1"/>
  <c r="G2034" i="18"/>
  <c r="I1986" i="18"/>
  <c r="I1987" i="18" s="1"/>
  <c r="I1988" i="18" s="1"/>
  <c r="I2040" i="18"/>
  <c r="I2041" i="18"/>
  <c r="D100" i="17"/>
  <c r="G99" i="17"/>
  <c r="H756" i="18" l="1"/>
  <c r="H786" i="18" s="1"/>
  <c r="D149" i="21"/>
  <c r="G146" i="21"/>
  <c r="D153" i="21"/>
  <c r="G150" i="21"/>
  <c r="D151" i="21"/>
  <c r="G148" i="21"/>
  <c r="I2166" i="18"/>
  <c r="I2167" i="18" s="1"/>
  <c r="I2168" i="18" s="1"/>
  <c r="H83" i="11" s="1"/>
  <c r="I83" i="11" s="1"/>
  <c r="I2042" i="18"/>
  <c r="I2043" i="18" s="1"/>
  <c r="I2044" i="18" s="1"/>
  <c r="G2071" i="18" s="1"/>
  <c r="I2071" i="18" s="1"/>
  <c r="D101" i="17"/>
  <c r="G100" i="17"/>
  <c r="H757" i="18" l="1"/>
  <c r="H787" i="18" s="1"/>
  <c r="D154" i="21"/>
  <c r="G154" i="21" s="1"/>
  <c r="G151" i="21"/>
  <c r="D156" i="21"/>
  <c r="G156" i="21" s="1"/>
  <c r="G153" i="21"/>
  <c r="D152" i="21"/>
  <c r="G149" i="21"/>
  <c r="I2072" i="18"/>
  <c r="D102" i="17"/>
  <c r="G101" i="17"/>
  <c r="H758" i="18" l="1"/>
  <c r="H788" i="18" s="1"/>
  <c r="D155" i="21"/>
  <c r="G155" i="21" s="1"/>
  <c r="G152" i="21"/>
  <c r="D103" i="17"/>
  <c r="G102" i="17"/>
  <c r="H759" i="18" l="1"/>
  <c r="H789" i="18" s="1"/>
  <c r="N224" i="21"/>
  <c r="O224" i="21" s="1"/>
  <c r="D104" i="17"/>
  <c r="G103" i="17"/>
  <c r="H760" i="18" l="1"/>
  <c r="H790" i="18" s="1"/>
  <c r="D105" i="17"/>
  <c r="G104" i="17"/>
  <c r="H761" i="18" l="1"/>
  <c r="H791" i="18" s="1"/>
  <c r="D106" i="17"/>
  <c r="G105" i="17"/>
  <c r="H762" i="18" l="1"/>
  <c r="H792" i="18" s="1"/>
  <c r="D107" i="17"/>
  <c r="G106" i="17"/>
  <c r="H763" i="18" l="1"/>
  <c r="H793" i="18" s="1"/>
  <c r="D108" i="17"/>
  <c r="G107" i="17"/>
  <c r="H764" i="18" l="1"/>
  <c r="H794" i="18" s="1"/>
  <c r="D109" i="17"/>
  <c r="G108" i="17"/>
  <c r="H765" i="18" l="1"/>
  <c r="H795" i="18" s="1"/>
  <c r="D110" i="17"/>
  <c r="G109" i="17"/>
  <c r="H766" i="18" l="1"/>
  <c r="H796" i="18" s="1"/>
  <c r="D111" i="17"/>
  <c r="G110" i="17"/>
  <c r="H767" i="18" l="1"/>
  <c r="H797" i="18" s="1"/>
  <c r="D112" i="17"/>
  <c r="G111" i="17"/>
  <c r="H768" i="18" l="1"/>
  <c r="H798" i="18" s="1"/>
  <c r="D113" i="17"/>
  <c r="G112" i="17"/>
  <c r="D114" i="17" l="1"/>
  <c r="G113" i="17"/>
  <c r="D115" i="17" l="1"/>
  <c r="G114" i="17"/>
  <c r="D116" i="17" l="1"/>
  <c r="G115" i="17"/>
  <c r="D117" i="17" l="1"/>
  <c r="F10" i="20" s="1"/>
  <c r="G116" i="17"/>
  <c r="F8" i="20" l="1"/>
  <c r="D118" i="17"/>
  <c r="G117" i="17"/>
  <c r="F24" i="20" s="1"/>
  <c r="K24" i="20" s="1"/>
  <c r="H1846" i="18" s="1"/>
  <c r="H1898" i="18" s="1"/>
  <c r="F21" i="20" l="1"/>
  <c r="F9" i="20"/>
  <c r="D119" i="17"/>
  <c r="G118" i="17"/>
  <c r="D120" i="17" l="1"/>
  <c r="G119" i="17"/>
  <c r="D121" i="17" l="1"/>
  <c r="G120" i="17"/>
  <c r="D122" i="17" l="1"/>
  <c r="G121" i="17"/>
  <c r="D123" i="17" l="1"/>
  <c r="G122" i="17"/>
  <c r="D124" i="17" l="1"/>
  <c r="G123" i="17"/>
  <c r="D125" i="17" l="1"/>
  <c r="G124" i="17"/>
  <c r="D126" i="17" l="1"/>
  <c r="G125" i="17"/>
  <c r="D127" i="17" l="1"/>
  <c r="G126" i="17"/>
  <c r="D128" i="17" l="1"/>
  <c r="G127" i="17"/>
  <c r="D129" i="17" l="1"/>
  <c r="G128" i="17"/>
  <c r="D130" i="17" l="1"/>
  <c r="G129" i="17"/>
  <c r="D131" i="17" l="1"/>
  <c r="G130" i="17"/>
  <c r="D132" i="17" l="1"/>
  <c r="G131" i="17"/>
  <c r="D133" i="17" l="1"/>
  <c r="G132" i="17"/>
  <c r="D134" i="17" l="1"/>
  <c r="G133" i="17"/>
  <c r="D135" i="17" l="1"/>
  <c r="K8" i="20" s="1"/>
  <c r="G134" i="17"/>
  <c r="G64" i="18" l="1"/>
  <c r="I64" i="18" s="1"/>
  <c r="G76" i="18"/>
  <c r="I76" i="18" s="1"/>
  <c r="D136" i="17"/>
  <c r="G135" i="17"/>
  <c r="K21" i="20" l="1"/>
  <c r="H1845" i="18" s="1"/>
  <c r="H1897" i="18" s="1"/>
  <c r="K9" i="20"/>
  <c r="K10" i="20"/>
  <c r="G66" i="18" s="1"/>
  <c r="D137" i="17"/>
  <c r="G136" i="17"/>
  <c r="F25" i="20" l="1"/>
  <c r="K25" i="20" s="1"/>
  <c r="F6" i="20"/>
  <c r="F20" i="20"/>
  <c r="F7" i="20"/>
  <c r="F18" i="20"/>
  <c r="F19" i="20"/>
  <c r="K19" i="20" s="1"/>
  <c r="G2048" i="18" s="1"/>
  <c r="I2048" i="18" s="1"/>
  <c r="I2059" i="18" s="1"/>
  <c r="I2060" i="18" s="1"/>
  <c r="G2069" i="18" s="1"/>
  <c r="I2069" i="18" s="1"/>
  <c r="I2074" i="18" s="1"/>
  <c r="H86" i="11" s="1"/>
  <c r="I1898" i="18"/>
  <c r="I1846" i="18"/>
  <c r="I66" i="18"/>
  <c r="G77" i="18"/>
  <c r="I77" i="18" s="1"/>
  <c r="K7" i="20"/>
  <c r="K20" i="20"/>
  <c r="G51" i="18" s="1"/>
  <c r="I51" i="18" s="1"/>
  <c r="K18" i="20"/>
  <c r="K6" i="20"/>
  <c r="I1897" i="18"/>
  <c r="I1845" i="18"/>
  <c r="G65" i="18"/>
  <c r="I65" i="18" s="1"/>
  <c r="D138" i="17"/>
  <c r="G137" i="17"/>
  <c r="I1900" i="18" l="1"/>
  <c r="I1920" i="18" s="1"/>
  <c r="I1924" i="18" s="1"/>
  <c r="I1925" i="18" s="1"/>
  <c r="I1926" i="18" s="1"/>
  <c r="I1927" i="18" s="1"/>
  <c r="H100" i="11" s="1"/>
  <c r="I100" i="11" s="1"/>
  <c r="I1850" i="18"/>
  <c r="I1871" i="18" s="1"/>
  <c r="I1875" i="18" s="1"/>
  <c r="I1876" i="18" s="1"/>
  <c r="I1877" i="18" s="1"/>
  <c r="I1878" i="18" s="1"/>
  <c r="H96" i="11" s="1"/>
  <c r="I96" i="11" s="1"/>
  <c r="F683" i="18"/>
  <c r="I683" i="18" s="1"/>
  <c r="I689" i="18" s="1"/>
  <c r="I690" i="18" s="1"/>
  <c r="F362" i="18"/>
  <c r="I362" i="18" s="1"/>
  <c r="I370" i="18" s="1"/>
  <c r="I372" i="18" s="1"/>
  <c r="G49" i="18"/>
  <c r="I49" i="18" s="1"/>
  <c r="G35" i="18"/>
  <c r="I35" i="18" s="1"/>
  <c r="H87" i="11"/>
  <c r="I87" i="11" s="1"/>
  <c r="I86" i="11"/>
  <c r="I71" i="18"/>
  <c r="I72" i="18" s="1"/>
  <c r="H43" i="8" s="1"/>
  <c r="I43" i="8" s="1"/>
  <c r="G101" i="18"/>
  <c r="F377" i="18"/>
  <c r="G50" i="18"/>
  <c r="I50" i="18" s="1"/>
  <c r="I83" i="18"/>
  <c r="I84" i="18" s="1"/>
  <c r="D139" i="17"/>
  <c r="G138" i="17"/>
  <c r="I101" i="18" l="1"/>
  <c r="I112" i="18" s="1"/>
  <c r="I113" i="18" s="1"/>
  <c r="G116" i="18"/>
  <c r="I9" i="26"/>
  <c r="H162" i="2"/>
  <c r="I162" i="2" s="1"/>
  <c r="H49" i="2"/>
  <c r="I49" i="2" s="1"/>
  <c r="H103" i="2"/>
  <c r="I103" i="2" s="1"/>
  <c r="H216" i="2"/>
  <c r="I216" i="2" s="1"/>
  <c r="I58" i="18"/>
  <c r="I59" i="18" s="1"/>
  <c r="F392" i="18"/>
  <c r="I377" i="18"/>
  <c r="I388" i="18" s="1"/>
  <c r="I389" i="18" s="1"/>
  <c r="I43" i="18"/>
  <c r="I44" i="18" s="1"/>
  <c r="H51" i="36" s="1"/>
  <c r="I51" i="36" s="1"/>
  <c r="D140" i="17"/>
  <c r="G139" i="17"/>
  <c r="G246" i="18" l="1"/>
  <c r="I246" i="18" s="1"/>
  <c r="I248" i="18" s="1"/>
  <c r="H104" i="21"/>
  <c r="K104" i="21" s="1"/>
  <c r="H94" i="11"/>
  <c r="I94" i="11" s="1"/>
  <c r="H11" i="7"/>
  <c r="J11" i="7" s="1"/>
  <c r="H60" i="5"/>
  <c r="I60" i="5" s="1"/>
  <c r="H49" i="13"/>
  <c r="I49" i="13" s="1"/>
  <c r="H30" i="8"/>
  <c r="I30" i="8" s="1"/>
  <c r="H55" i="22"/>
  <c r="I55" i="22" s="1"/>
  <c r="H51" i="12"/>
  <c r="I51" i="12" s="1"/>
  <c r="H54" i="9"/>
  <c r="I54" i="9" s="1"/>
  <c r="H57" i="6"/>
  <c r="I57" i="6" s="1"/>
  <c r="H65" i="4"/>
  <c r="I65" i="4" s="1"/>
  <c r="H51" i="10"/>
  <c r="I51" i="10" s="1"/>
  <c r="H65" i="23"/>
  <c r="I65" i="23" s="1"/>
  <c r="I392" i="18"/>
  <c r="I401" i="18" s="1"/>
  <c r="I402" i="18" s="1"/>
  <c r="I1110" i="18" s="1"/>
  <c r="F404" i="18"/>
  <c r="I404" i="18" s="1"/>
  <c r="I413" i="18" s="1"/>
  <c r="I414" i="18" s="1"/>
  <c r="I1175" i="18" s="1"/>
  <c r="I1185" i="18" s="1"/>
  <c r="I1235" i="18" s="1"/>
  <c r="I1245" i="18" s="1"/>
  <c r="I1255" i="18" s="1"/>
  <c r="I9" i="27"/>
  <c r="K9" i="26"/>
  <c r="E161" i="18"/>
  <c r="E171" i="18" s="1"/>
  <c r="F990" i="18"/>
  <c r="I990" i="18" s="1"/>
  <c r="I995" i="18" s="1"/>
  <c r="F426" i="18"/>
  <c r="I426" i="18" s="1"/>
  <c r="I431" i="18" s="1"/>
  <c r="F418" i="18"/>
  <c r="I418" i="18" s="1"/>
  <c r="I423" i="18" s="1"/>
  <c r="H55" i="36" s="1"/>
  <c r="I55" i="36" s="1"/>
  <c r="F1000" i="18"/>
  <c r="I1000" i="18" s="1"/>
  <c r="I1006" i="18" s="1"/>
  <c r="H73" i="23" s="1"/>
  <c r="I73" i="23" s="1"/>
  <c r="F731" i="18"/>
  <c r="I731" i="18" s="1"/>
  <c r="I736" i="18" s="1"/>
  <c r="H57" i="22" s="1"/>
  <c r="I57" i="22" s="1"/>
  <c r="F608" i="18"/>
  <c r="I608" i="18" s="1"/>
  <c r="I612" i="18" s="1"/>
  <c r="H62" i="5"/>
  <c r="I62" i="5" s="1"/>
  <c r="H90" i="11"/>
  <c r="I90" i="11" s="1"/>
  <c r="I110" i="11" s="1"/>
  <c r="I108" i="11" s="1"/>
  <c r="H68" i="4"/>
  <c r="I68" i="4" s="1"/>
  <c r="I116" i="18"/>
  <c r="I125" i="18" s="1"/>
  <c r="I126" i="18" s="1"/>
  <c r="G129" i="18"/>
  <c r="I129" i="18" s="1"/>
  <c r="I138" i="18" s="1"/>
  <c r="I139" i="18" s="1"/>
  <c r="D141" i="17"/>
  <c r="G140" i="17"/>
  <c r="H59" i="13" l="1"/>
  <c r="I59" i="13" s="1"/>
  <c r="I1205" i="18"/>
  <c r="I1225" i="18" s="1"/>
  <c r="I1231" i="18" s="1"/>
  <c r="H181" i="21" s="1"/>
  <c r="K181" i="21" s="1"/>
  <c r="I1118" i="18"/>
  <c r="I1138" i="18" s="1"/>
  <c r="H171" i="18"/>
  <c r="E172" i="18"/>
  <c r="H172" i="18" s="1"/>
  <c r="I9" i="28"/>
  <c r="K9" i="27"/>
  <c r="F740" i="18"/>
  <c r="I1010" i="18"/>
  <c r="F435" i="18"/>
  <c r="I1275" i="18"/>
  <c r="I1281" i="18" s="1"/>
  <c r="F616" i="18"/>
  <c r="I1080" i="18"/>
  <c r="I1086" i="18" s="1"/>
  <c r="H122" i="23" s="1"/>
  <c r="I122" i="23" s="1"/>
  <c r="H111" i="6"/>
  <c r="I111" i="6" s="1"/>
  <c r="H93" i="8"/>
  <c r="I93" i="8" s="1"/>
  <c r="F711" i="18"/>
  <c r="I711" i="18" s="1"/>
  <c r="I716" i="18" s="1"/>
  <c r="I15" i="30" s="1"/>
  <c r="I1116" i="18"/>
  <c r="H116" i="21" s="1"/>
  <c r="K116" i="21" s="1"/>
  <c r="I1124" i="18"/>
  <c r="F703" i="18"/>
  <c r="I703" i="18" s="1"/>
  <c r="I708" i="18" s="1"/>
  <c r="I13" i="26" s="1"/>
  <c r="E166" i="18"/>
  <c r="H166" i="18" s="1"/>
  <c r="E162" i="18"/>
  <c r="H162" i="18" s="1"/>
  <c r="I1144" i="18"/>
  <c r="I962" i="18"/>
  <c r="I967" i="18" s="1"/>
  <c r="F694" i="18"/>
  <c r="I694" i="18" s="1"/>
  <c r="I699" i="18" s="1"/>
  <c r="E167" i="18"/>
  <c r="H167" i="18" s="1"/>
  <c r="E163" i="18"/>
  <c r="H163" i="18" s="1"/>
  <c r="G1373" i="18"/>
  <c r="I1181" i="18"/>
  <c r="H161" i="21" s="1"/>
  <c r="K161" i="21" s="1"/>
  <c r="I1261" i="18"/>
  <c r="I1241" i="18"/>
  <c r="H182" i="21" s="1"/>
  <c r="K182" i="21" s="1"/>
  <c r="F153" i="18"/>
  <c r="I153" i="18" s="1"/>
  <c r="I158" i="18" s="1"/>
  <c r="H66" i="8" s="1"/>
  <c r="I66" i="8" s="1"/>
  <c r="F599" i="18"/>
  <c r="E169" i="18"/>
  <c r="H169" i="18" s="1"/>
  <c r="E164" i="18"/>
  <c r="F972" i="18"/>
  <c r="I972" i="18" s="1"/>
  <c r="I977" i="18" s="1"/>
  <c r="H91" i="22" s="1"/>
  <c r="I91" i="22" s="1"/>
  <c r="I1251" i="18"/>
  <c r="H190" i="21" s="1"/>
  <c r="K190" i="21" s="1"/>
  <c r="I1191" i="18"/>
  <c r="F981" i="18"/>
  <c r="I981" i="18" s="1"/>
  <c r="I986" i="18" s="1"/>
  <c r="H81" i="22" s="1"/>
  <c r="I81" i="22" s="1"/>
  <c r="F559" i="18"/>
  <c r="I559" i="18" s="1"/>
  <c r="I564" i="18" s="1"/>
  <c r="H83" i="4" s="1"/>
  <c r="I83" i="4" s="1"/>
  <c r="F720" i="18"/>
  <c r="I720" i="18" s="1"/>
  <c r="I725" i="18" s="1"/>
  <c r="E170" i="18"/>
  <c r="H170" i="18" s="1"/>
  <c r="E168" i="18"/>
  <c r="H168" i="18" s="1"/>
  <c r="F143" i="18"/>
  <c r="I143" i="18" s="1"/>
  <c r="I148" i="18" s="1"/>
  <c r="H87" i="6" s="1"/>
  <c r="I87" i="6" s="1"/>
  <c r="H55" i="12"/>
  <c r="I55" i="12" s="1"/>
  <c r="H110" i="21"/>
  <c r="K110" i="21" s="1"/>
  <c r="H55" i="10"/>
  <c r="I55" i="10" s="1"/>
  <c r="H58" i="9"/>
  <c r="I58" i="9" s="1"/>
  <c r="H53" i="13"/>
  <c r="I53" i="13" s="1"/>
  <c r="H71" i="23"/>
  <c r="I71" i="23" s="1"/>
  <c r="F2173" i="18"/>
  <c r="H161" i="18"/>
  <c r="F631" i="18"/>
  <c r="I631" i="18" s="1"/>
  <c r="I635" i="18" s="1"/>
  <c r="F466" i="18"/>
  <c r="F625" i="18"/>
  <c r="I625" i="18" s="1"/>
  <c r="I629" i="18" s="1"/>
  <c r="H57" i="13" s="1"/>
  <c r="I57" i="13" s="1"/>
  <c r="I1061" i="18"/>
  <c r="F551" i="18"/>
  <c r="I551" i="18" s="1"/>
  <c r="I555" i="18" s="1"/>
  <c r="I1315" i="18"/>
  <c r="F473" i="18"/>
  <c r="I473" i="18" s="1"/>
  <c r="I477" i="18" s="1"/>
  <c r="D142" i="17"/>
  <c r="G141" i="17"/>
  <c r="H1282" i="18" l="1"/>
  <c r="I1211" i="18"/>
  <c r="H171" i="21" s="1"/>
  <c r="K171" i="21" s="1"/>
  <c r="I1068" i="18"/>
  <c r="H115" i="23" s="1"/>
  <c r="I115" i="23" s="1"/>
  <c r="I1071" i="18"/>
  <c r="I1128" i="18" s="1"/>
  <c r="I1321" i="18"/>
  <c r="I1335" i="18"/>
  <c r="I466" i="18"/>
  <c r="I470" i="18" s="1"/>
  <c r="F489" i="18"/>
  <c r="H64" i="5"/>
  <c r="I64" i="5" s="1"/>
  <c r="H70" i="4"/>
  <c r="I70" i="4" s="1"/>
  <c r="F2191" i="18"/>
  <c r="H2191" i="18" s="1"/>
  <c r="H2194" i="18" s="1"/>
  <c r="H38" i="6" s="1"/>
  <c r="I38" i="6" s="1"/>
  <c r="H2173" i="18"/>
  <c r="H2176" i="18" s="1"/>
  <c r="I12" i="26"/>
  <c r="H170" i="2"/>
  <c r="I170" i="2" s="1"/>
  <c r="H57" i="2"/>
  <c r="I57" i="2" s="1"/>
  <c r="H224" i="2"/>
  <c r="I224" i="2" s="1"/>
  <c r="H111" i="2"/>
  <c r="I111" i="2" s="1"/>
  <c r="I1089" i="18"/>
  <c r="H214" i="21"/>
  <c r="H1262" i="18"/>
  <c r="I1262" i="18" s="1"/>
  <c r="G1379" i="18"/>
  <c r="I1373" i="18"/>
  <c r="I1378" i="18" s="1"/>
  <c r="I1379" i="18" s="1"/>
  <c r="H131" i="23" s="1"/>
  <c r="I131" i="23" s="1"/>
  <c r="H64" i="8"/>
  <c r="I64" i="8" s="1"/>
  <c r="H85" i="6"/>
  <c r="I85" i="6" s="1"/>
  <c r="H86" i="22"/>
  <c r="I86" i="22" s="1"/>
  <c r="G968" i="18"/>
  <c r="I968" i="18" s="1"/>
  <c r="H88" i="22" s="1"/>
  <c r="I88" i="22" s="1"/>
  <c r="H129" i="21"/>
  <c r="K129" i="21" s="1"/>
  <c r="H1145" i="18"/>
  <c r="I1145" i="18" s="1"/>
  <c r="H53" i="8"/>
  <c r="I53" i="8" s="1"/>
  <c r="H81" i="6"/>
  <c r="I81" i="6" s="1"/>
  <c r="F2185" i="18"/>
  <c r="H2185" i="18" s="1"/>
  <c r="H2188" i="18" s="1"/>
  <c r="H77" i="6"/>
  <c r="I77" i="6" s="1"/>
  <c r="K15" i="30"/>
  <c r="K16" i="31"/>
  <c r="M16" i="31" s="1"/>
  <c r="F639" i="18"/>
  <c r="I616" i="18"/>
  <c r="I621" i="18" s="1"/>
  <c r="F442" i="18"/>
  <c r="I435" i="18"/>
  <c r="I439" i="18" s="1"/>
  <c r="F772" i="18"/>
  <c r="I740" i="18"/>
  <c r="I9" i="29"/>
  <c r="K9" i="28"/>
  <c r="H15" i="7"/>
  <c r="H61" i="6"/>
  <c r="I61" i="6" s="1"/>
  <c r="H45" i="8"/>
  <c r="I45" i="8" s="1"/>
  <c r="E165" i="18"/>
  <c r="H165" i="18" s="1"/>
  <c r="H164" i="18"/>
  <c r="I599" i="18"/>
  <c r="I604" i="18" s="1"/>
  <c r="H75" i="5" s="1"/>
  <c r="I75" i="5" s="1"/>
  <c r="F591" i="18"/>
  <c r="I591" i="18" s="1"/>
  <c r="I595" i="18" s="1"/>
  <c r="H77" i="5" s="1"/>
  <c r="I77" i="5" s="1"/>
  <c r="H166" i="2"/>
  <c r="I166" i="2" s="1"/>
  <c r="H53" i="2"/>
  <c r="I53" i="2" s="1"/>
  <c r="H220" i="2"/>
  <c r="I220" i="2" s="1"/>
  <c r="H107" i="2"/>
  <c r="I107" i="2" s="1"/>
  <c r="I120" i="2" s="1"/>
  <c r="H55" i="8"/>
  <c r="I55" i="8" s="1"/>
  <c r="H63" i="6"/>
  <c r="I63" i="6" s="1"/>
  <c r="K13" i="26"/>
  <c r="I13" i="27"/>
  <c r="I1282" i="18"/>
  <c r="H25" i="7"/>
  <c r="J25" i="7" s="1"/>
  <c r="I1044" i="18"/>
  <c r="I1050" i="18" s="1"/>
  <c r="I1016" i="18"/>
  <c r="D143" i="17"/>
  <c r="G142" i="17"/>
  <c r="H131" i="7" l="1"/>
  <c r="J131" i="7" s="1"/>
  <c r="I233" i="2"/>
  <c r="G8" i="15" s="1"/>
  <c r="W99" i="15" s="1"/>
  <c r="I179" i="2"/>
  <c r="B7" i="21" s="1"/>
  <c r="I1077" i="18"/>
  <c r="H116" i="23" s="1"/>
  <c r="I116" i="23" s="1"/>
  <c r="H59" i="12"/>
  <c r="I59" i="12" s="1"/>
  <c r="H59" i="36"/>
  <c r="I59" i="36" s="1"/>
  <c r="H55" i="13"/>
  <c r="I55" i="13" s="1"/>
  <c r="I79" i="13" s="1"/>
  <c r="H41" i="13" s="1"/>
  <c r="I1195" i="18"/>
  <c r="I1134" i="18"/>
  <c r="H121" i="21" s="1"/>
  <c r="K121" i="21" s="1"/>
  <c r="H26" i="7"/>
  <c r="J26" i="7" s="1"/>
  <c r="H1283" i="18"/>
  <c r="I1283" i="18" s="1"/>
  <c r="B8" i="21"/>
  <c r="H77" i="23"/>
  <c r="I77" i="23" s="1"/>
  <c r="G1017" i="18"/>
  <c r="I1017" i="18" s="1"/>
  <c r="I13" i="28"/>
  <c r="K13" i="27"/>
  <c r="B6" i="21"/>
  <c r="I121" i="2"/>
  <c r="G7" i="15"/>
  <c r="W98" i="15" s="1"/>
  <c r="H67" i="6"/>
  <c r="I67" i="6" s="1"/>
  <c r="I129" i="6" s="1"/>
  <c r="H59" i="8"/>
  <c r="I59" i="8" s="1"/>
  <c r="I138" i="8" s="1"/>
  <c r="H16" i="7"/>
  <c r="J16" i="7" s="1"/>
  <c r="J15" i="7"/>
  <c r="I8" i="30"/>
  <c r="K9" i="29"/>
  <c r="I802" i="18"/>
  <c r="I832" i="18" s="1"/>
  <c r="I772" i="18"/>
  <c r="I776" i="18" s="1"/>
  <c r="F450" i="18"/>
  <c r="I442" i="18"/>
  <c r="I447" i="18" s="1"/>
  <c r="F647" i="18"/>
  <c r="I647" i="18" s="1"/>
  <c r="I651" i="18" s="1"/>
  <c r="I639" i="18"/>
  <c r="I643" i="18" s="1"/>
  <c r="I1099" i="18"/>
  <c r="I1105" i="18" s="1"/>
  <c r="H118" i="23" s="1"/>
  <c r="I118" i="23" s="1"/>
  <c r="I1095" i="18"/>
  <c r="H124" i="23" s="1"/>
  <c r="I124" i="23" s="1"/>
  <c r="I489" i="18"/>
  <c r="I493" i="18" s="1"/>
  <c r="H59" i="10" s="1"/>
  <c r="I59" i="10" s="1"/>
  <c r="F497" i="18"/>
  <c r="I1355" i="18"/>
  <c r="I1361" i="18" s="1"/>
  <c r="I1341" i="18"/>
  <c r="G1051" i="18"/>
  <c r="I1051" i="18" s="1"/>
  <c r="H101" i="23"/>
  <c r="I101" i="23" s="1"/>
  <c r="I180" i="2"/>
  <c r="I744" i="18"/>
  <c r="H130" i="21"/>
  <c r="K130" i="21" s="1"/>
  <c r="H1146" i="18"/>
  <c r="I1146" i="18" s="1"/>
  <c r="H215" i="21"/>
  <c r="H1263" i="18"/>
  <c r="I1263" i="18" s="1"/>
  <c r="I12" i="27"/>
  <c r="K12" i="26"/>
  <c r="I14" i="26"/>
  <c r="K14" i="26" s="1"/>
  <c r="H1322" i="18"/>
  <c r="I1322" i="18" s="1"/>
  <c r="H83" i="7"/>
  <c r="J83" i="7" s="1"/>
  <c r="I66" i="2"/>
  <c r="D144" i="17"/>
  <c r="G143" i="17"/>
  <c r="I862" i="18" l="1"/>
  <c r="I836" i="18"/>
  <c r="I779" i="18"/>
  <c r="I781" i="18"/>
  <c r="I783" i="18"/>
  <c r="I785" i="18"/>
  <c r="I787" i="18"/>
  <c r="I789" i="18"/>
  <c r="I791" i="18"/>
  <c r="I793" i="18"/>
  <c r="I795" i="18"/>
  <c r="I797" i="18"/>
  <c r="I778" i="18"/>
  <c r="I780" i="18"/>
  <c r="I782" i="18"/>
  <c r="I784" i="18"/>
  <c r="I786" i="18"/>
  <c r="I788" i="18"/>
  <c r="I790" i="18"/>
  <c r="I792" i="18"/>
  <c r="I794" i="18"/>
  <c r="I796" i="18"/>
  <c r="I798" i="18"/>
  <c r="I777" i="18"/>
  <c r="H60" i="22"/>
  <c r="I60" i="22" s="1"/>
  <c r="I747" i="18"/>
  <c r="I748" i="18"/>
  <c r="I749" i="18"/>
  <c r="I750" i="18"/>
  <c r="I751" i="18"/>
  <c r="I752" i="18"/>
  <c r="I753" i="18"/>
  <c r="I754" i="18"/>
  <c r="I755" i="18"/>
  <c r="I756" i="18"/>
  <c r="I757" i="18"/>
  <c r="I758" i="18"/>
  <c r="I759" i="18"/>
  <c r="I760" i="18"/>
  <c r="I761" i="18"/>
  <c r="I762" i="18"/>
  <c r="I763" i="18"/>
  <c r="I764" i="18"/>
  <c r="I765" i="18"/>
  <c r="I766" i="18"/>
  <c r="I767" i="18"/>
  <c r="I768" i="18"/>
  <c r="I234" i="2"/>
  <c r="I211" i="2" s="1"/>
  <c r="W228" i="21"/>
  <c r="W229" i="21"/>
  <c r="I78" i="13"/>
  <c r="I1215" i="18"/>
  <c r="I1221" i="18" s="1"/>
  <c r="H176" i="21" s="1"/>
  <c r="K176" i="21" s="1"/>
  <c r="I1201" i="18"/>
  <c r="H166" i="21" s="1"/>
  <c r="K166" i="21" s="1"/>
  <c r="K19" i="26"/>
  <c r="K21" i="26" s="1"/>
  <c r="H34" i="6"/>
  <c r="I128" i="6"/>
  <c r="L129" i="6" s="1"/>
  <c r="H1323" i="18"/>
  <c r="I1323" i="18" s="1"/>
  <c r="H85" i="7"/>
  <c r="J85" i="7" s="1"/>
  <c r="I14" i="27"/>
  <c r="K14" i="27" s="1"/>
  <c r="I12" i="28"/>
  <c r="K12" i="27"/>
  <c r="H61" i="22"/>
  <c r="I61" i="22" s="1"/>
  <c r="H1342" i="18"/>
  <c r="H108" i="7"/>
  <c r="J108" i="7" s="1"/>
  <c r="I497" i="18"/>
  <c r="I501" i="18" s="1"/>
  <c r="H61" i="10" s="1"/>
  <c r="I61" i="10" s="1"/>
  <c r="F513" i="18"/>
  <c r="H64" i="22"/>
  <c r="I64" i="22" s="1"/>
  <c r="I98" i="2"/>
  <c r="J6" i="2"/>
  <c r="G1018" i="18"/>
  <c r="I1018" i="18" s="1"/>
  <c r="H78" i="23"/>
  <c r="I78" i="23" s="1"/>
  <c r="J8" i="2"/>
  <c r="I67" i="2"/>
  <c r="B5" i="21"/>
  <c r="W225" i="21" s="1"/>
  <c r="G6" i="15"/>
  <c r="H216" i="21"/>
  <c r="H1264" i="18"/>
  <c r="I1264" i="18" s="1"/>
  <c r="H131" i="21"/>
  <c r="K131" i="21" s="1"/>
  <c r="H1147" i="18"/>
  <c r="I1147" i="18" s="1"/>
  <c r="I157" i="2"/>
  <c r="J7" i="2"/>
  <c r="G1052" i="18"/>
  <c r="I1052" i="18" s="1"/>
  <c r="H103" i="23"/>
  <c r="I103" i="23" s="1"/>
  <c r="I137" i="8"/>
  <c r="L138" i="8" s="1"/>
  <c r="H4" i="8"/>
  <c r="H1362" i="18"/>
  <c r="I1362" i="18" s="1"/>
  <c r="H60" i="7"/>
  <c r="J60" i="7" s="1"/>
  <c r="F458" i="18"/>
  <c r="I450" i="18"/>
  <c r="I454" i="18" s="1"/>
  <c r="I806" i="18"/>
  <c r="K9" i="31"/>
  <c r="M9" i="31" s="1"/>
  <c r="K8" i="30"/>
  <c r="I13" i="29"/>
  <c r="K13" i="29" s="1"/>
  <c r="K13" i="28"/>
  <c r="H1284" i="18"/>
  <c r="I1284" i="18" s="1"/>
  <c r="H27" i="7"/>
  <c r="J27" i="7" s="1"/>
  <c r="D145" i="17"/>
  <c r="G144" i="17"/>
  <c r="I948" i="18" l="1"/>
  <c r="I947" i="18"/>
  <c r="I946" i="18"/>
  <c r="I945" i="18"/>
  <c r="I944" i="18"/>
  <c r="I943" i="18"/>
  <c r="I942" i="18"/>
  <c r="I941" i="18"/>
  <c r="I940" i="18"/>
  <c r="I939" i="18"/>
  <c r="I938" i="18"/>
  <c r="I937" i="18"/>
  <c r="I936" i="18"/>
  <c r="I935" i="18"/>
  <c r="I934" i="18"/>
  <c r="I933" i="18"/>
  <c r="I932" i="18"/>
  <c r="I931" i="18"/>
  <c r="I930" i="18"/>
  <c r="I929" i="18"/>
  <c r="I928" i="18"/>
  <c r="I927" i="18"/>
  <c r="I866" i="18"/>
  <c r="I892" i="18"/>
  <c r="I918" i="18"/>
  <c r="I917" i="18"/>
  <c r="I916" i="18"/>
  <c r="I915" i="18"/>
  <c r="I914" i="18"/>
  <c r="I913" i="18"/>
  <c r="I912" i="18"/>
  <c r="I911" i="18"/>
  <c r="I910" i="18"/>
  <c r="I909" i="18"/>
  <c r="I908" i="18"/>
  <c r="I907" i="18"/>
  <c r="I906" i="18"/>
  <c r="I905" i="18"/>
  <c r="I904" i="18"/>
  <c r="I903" i="18"/>
  <c r="I902" i="18"/>
  <c r="I901" i="18"/>
  <c r="I900" i="18"/>
  <c r="I899" i="18"/>
  <c r="I898" i="18"/>
  <c r="I897" i="18"/>
  <c r="I888" i="18"/>
  <c r="I887" i="18"/>
  <c r="I886" i="18"/>
  <c r="I885" i="18"/>
  <c r="I884" i="18"/>
  <c r="I883" i="18"/>
  <c r="I882" i="18"/>
  <c r="I881" i="18"/>
  <c r="I880" i="18"/>
  <c r="I879" i="18"/>
  <c r="I878" i="18"/>
  <c r="I877" i="18"/>
  <c r="I876" i="18"/>
  <c r="I875" i="18"/>
  <c r="I874" i="18"/>
  <c r="I873" i="18"/>
  <c r="I872" i="18"/>
  <c r="I871" i="18"/>
  <c r="I870" i="18"/>
  <c r="I869" i="18"/>
  <c r="I868" i="18"/>
  <c r="I867" i="18"/>
  <c r="I858" i="18"/>
  <c r="I857" i="18"/>
  <c r="I856" i="18"/>
  <c r="I855" i="18"/>
  <c r="I854" i="18"/>
  <c r="I853" i="18"/>
  <c r="I852" i="18"/>
  <c r="I851" i="18"/>
  <c r="I850" i="18"/>
  <c r="I849" i="18"/>
  <c r="I848" i="18"/>
  <c r="I847" i="18"/>
  <c r="I846" i="18"/>
  <c r="I845" i="18"/>
  <c r="I844" i="18"/>
  <c r="I843" i="18"/>
  <c r="I842" i="18"/>
  <c r="I841" i="18"/>
  <c r="I840" i="18"/>
  <c r="I839" i="18"/>
  <c r="I838" i="18"/>
  <c r="I837" i="18"/>
  <c r="I809" i="18"/>
  <c r="I811" i="18"/>
  <c r="I813" i="18"/>
  <c r="I815" i="18"/>
  <c r="I817" i="18"/>
  <c r="I819" i="18"/>
  <c r="I821" i="18"/>
  <c r="I823" i="18"/>
  <c r="I825" i="18"/>
  <c r="I827" i="18"/>
  <c r="I807" i="18"/>
  <c r="I808" i="18"/>
  <c r="I810" i="18"/>
  <c r="I812" i="18"/>
  <c r="I814" i="18"/>
  <c r="I816" i="18"/>
  <c r="I818" i="18"/>
  <c r="I820" i="18"/>
  <c r="I822" i="18"/>
  <c r="I824" i="18"/>
  <c r="I826" i="18"/>
  <c r="I828" i="18"/>
  <c r="L23" i="26"/>
  <c r="G6" i="24" s="1"/>
  <c r="W106" i="24" s="1"/>
  <c r="K19" i="27"/>
  <c r="K21" i="27" s="1"/>
  <c r="H28" i="7"/>
  <c r="J28" i="7" s="1"/>
  <c r="H1285" i="18"/>
  <c r="I1285" i="18" s="1"/>
  <c r="I458" i="18"/>
  <c r="I462" i="18" s="1"/>
  <c r="F481" i="18"/>
  <c r="H62" i="7"/>
  <c r="J62" i="7" s="1"/>
  <c r="H1363" i="18"/>
  <c r="I1363" i="18" s="1"/>
  <c r="H105" i="23"/>
  <c r="I105" i="23" s="1"/>
  <c r="G1053" i="18"/>
  <c r="I1053" i="18" s="1"/>
  <c r="H79" i="23"/>
  <c r="I79" i="23" s="1"/>
  <c r="G1019" i="18"/>
  <c r="I1019" i="18" s="1"/>
  <c r="H65" i="22"/>
  <c r="I65" i="22" s="1"/>
  <c r="I118" i="22" s="1"/>
  <c r="H1343" i="18"/>
  <c r="I1342" i="18"/>
  <c r="I6" i="15"/>
  <c r="W97" i="15"/>
  <c r="I91" i="15" s="1"/>
  <c r="I12" i="29"/>
  <c r="K12" i="28"/>
  <c r="I14" i="28"/>
  <c r="H132" i="21"/>
  <c r="K132" i="21" s="1"/>
  <c r="H1148" i="18"/>
  <c r="I1148" i="18" s="1"/>
  <c r="H217" i="21"/>
  <c r="H1265" i="18"/>
  <c r="I1265" i="18" s="1"/>
  <c r="I44" i="2"/>
  <c r="J5" i="2"/>
  <c r="I513" i="18"/>
  <c r="I517" i="18" s="1"/>
  <c r="H62" i="9" s="1"/>
  <c r="I62" i="9" s="1"/>
  <c r="F543" i="18"/>
  <c r="I543" i="18" s="1"/>
  <c r="I547" i="18" s="1"/>
  <c r="H81" i="4" s="1"/>
  <c r="I81" i="4" s="1"/>
  <c r="H87" i="7"/>
  <c r="J87" i="7" s="1"/>
  <c r="H1324" i="18"/>
  <c r="I1324" i="18" s="1"/>
  <c r="D146" i="17"/>
  <c r="G145" i="17"/>
  <c r="H110" i="7" l="1"/>
  <c r="J110" i="7" s="1"/>
  <c r="I896" i="18"/>
  <c r="I922" i="18"/>
  <c r="I92" i="15"/>
  <c r="I96" i="15" s="1"/>
  <c r="H57" i="12"/>
  <c r="I57" i="12" s="1"/>
  <c r="I74" i="12" s="1"/>
  <c r="I44" i="12" s="1"/>
  <c r="H57" i="36"/>
  <c r="I57" i="36" s="1"/>
  <c r="I74" i="36" s="1"/>
  <c r="L23" i="27"/>
  <c r="G7" i="24" s="1"/>
  <c r="W107" i="24" s="1"/>
  <c r="E225" i="21"/>
  <c r="B5" i="23"/>
  <c r="U188" i="23" s="1"/>
  <c r="N94" i="24"/>
  <c r="C100" i="24" s="1"/>
  <c r="H1344" i="18"/>
  <c r="I1343" i="18"/>
  <c r="I117" i="22"/>
  <c r="I48" i="22"/>
  <c r="H89" i="7"/>
  <c r="J89" i="7" s="1"/>
  <c r="H1325" i="18"/>
  <c r="I1325" i="18" s="1"/>
  <c r="H1266" i="18"/>
  <c r="I1266" i="18" s="1"/>
  <c r="H218" i="21"/>
  <c r="H1149" i="18"/>
  <c r="I1149" i="18" s="1"/>
  <c r="H133" i="21"/>
  <c r="K133" i="21" s="1"/>
  <c r="K14" i="28"/>
  <c r="K19" i="28" s="1"/>
  <c r="K21" i="28" s="1"/>
  <c r="I14" i="29"/>
  <c r="K14" i="29" s="1"/>
  <c r="K12" i="29"/>
  <c r="I10" i="30"/>
  <c r="G1020" i="18"/>
  <c r="I1020" i="18" s="1"/>
  <c r="H80" i="23"/>
  <c r="I80" i="23" s="1"/>
  <c r="H107" i="23"/>
  <c r="I107" i="23" s="1"/>
  <c r="G1054" i="18"/>
  <c r="I1054" i="18" s="1"/>
  <c r="H64" i="7"/>
  <c r="J64" i="7" s="1"/>
  <c r="H1364" i="18"/>
  <c r="I1364" i="18" s="1"/>
  <c r="I481" i="18"/>
  <c r="I485" i="18" s="1"/>
  <c r="H57" i="10" s="1"/>
  <c r="I57" i="10" s="1"/>
  <c r="I79" i="10" s="1"/>
  <c r="F505" i="18"/>
  <c r="H1286" i="18"/>
  <c r="I1286" i="18" s="1"/>
  <c r="H29" i="7"/>
  <c r="J29" i="7" s="1"/>
  <c r="D147" i="17"/>
  <c r="G146" i="17"/>
  <c r="H112" i="7" l="1"/>
  <c r="J112" i="7" s="1"/>
  <c r="I73" i="12"/>
  <c r="I926" i="18"/>
  <c r="I952" i="18"/>
  <c r="I957" i="18" s="1"/>
  <c r="I57" i="15"/>
  <c r="I94" i="15"/>
  <c r="E98" i="15" s="1"/>
  <c r="I73" i="36"/>
  <c r="I44" i="36"/>
  <c r="M22" i="28"/>
  <c r="G8" i="24" s="1"/>
  <c r="W108" i="24" s="1"/>
  <c r="N95" i="24"/>
  <c r="B6" i="23"/>
  <c r="U189" i="23" s="1"/>
  <c r="K19" i="29"/>
  <c r="K21" i="29" s="1"/>
  <c r="D225" i="21"/>
  <c r="H225" i="21" s="1"/>
  <c r="K225" i="21" s="1"/>
  <c r="H1287" i="18"/>
  <c r="I1287" i="18" s="1"/>
  <c r="H30" i="7"/>
  <c r="J30" i="7" s="1"/>
  <c r="G1021" i="18"/>
  <c r="I1021" i="18" s="1"/>
  <c r="H81" i="23"/>
  <c r="I81" i="23" s="1"/>
  <c r="H134" i="21"/>
  <c r="K134" i="21" s="1"/>
  <c r="H1150" i="18"/>
  <c r="I1150" i="18" s="1"/>
  <c r="H219" i="21"/>
  <c r="H1267" i="18"/>
  <c r="I1267" i="18" s="1"/>
  <c r="I78" i="10"/>
  <c r="I46" i="10"/>
  <c r="I505" i="18"/>
  <c r="I509" i="18" s="1"/>
  <c r="H60" i="9" s="1"/>
  <c r="I60" i="9" s="1"/>
  <c r="I79" i="9" s="1"/>
  <c r="F520" i="18"/>
  <c r="H1365" i="18"/>
  <c r="I1365" i="18" s="1"/>
  <c r="H66" i="7"/>
  <c r="J66" i="7" s="1"/>
  <c r="G1055" i="18"/>
  <c r="I1055" i="18" s="1"/>
  <c r="H109" i="23"/>
  <c r="I109" i="23" s="1"/>
  <c r="K12" i="31"/>
  <c r="M12" i="31" s="1"/>
  <c r="K10" i="30"/>
  <c r="I17" i="30"/>
  <c r="H1326" i="18"/>
  <c r="I1326" i="18" s="1"/>
  <c r="H91" i="7"/>
  <c r="H1345" i="18"/>
  <c r="I1344" i="18"/>
  <c r="D148" i="17"/>
  <c r="G147" i="17"/>
  <c r="B7" i="23" l="1"/>
  <c r="U190" i="23" s="1"/>
  <c r="I149" i="23" s="1"/>
  <c r="H114" i="7"/>
  <c r="J114" i="7" s="1"/>
  <c r="H73" i="22"/>
  <c r="I73" i="22" s="1"/>
  <c r="G958" i="18"/>
  <c r="I958" i="18" s="1"/>
  <c r="H74" i="22" s="1"/>
  <c r="I74" i="22" s="1"/>
  <c r="L96" i="15"/>
  <c r="N96" i="24"/>
  <c r="E100" i="24"/>
  <c r="M21" i="29"/>
  <c r="H1327" i="18"/>
  <c r="I1327" i="18" s="1"/>
  <c r="H93" i="7"/>
  <c r="I520" i="18"/>
  <c r="I524" i="18" s="1"/>
  <c r="F527" i="18"/>
  <c r="H220" i="21"/>
  <c r="H1268" i="18"/>
  <c r="I1268" i="18" s="1"/>
  <c r="H135" i="21"/>
  <c r="K135" i="21" s="1"/>
  <c r="H1151" i="18"/>
  <c r="I1151" i="18" s="1"/>
  <c r="H1346" i="18"/>
  <c r="I1345" i="18"/>
  <c r="K17" i="30"/>
  <c r="K22" i="30" s="1"/>
  <c r="K24" i="30" s="1"/>
  <c r="K18" i="31"/>
  <c r="M18" i="31" s="1"/>
  <c r="M23" i="31" s="1"/>
  <c r="M25" i="31" s="1"/>
  <c r="G1056" i="18"/>
  <c r="I1056" i="18" s="1"/>
  <c r="H113" i="23" s="1"/>
  <c r="I113" i="23" s="1"/>
  <c r="H111" i="23"/>
  <c r="I111" i="23" s="1"/>
  <c r="H1366" i="18"/>
  <c r="I1366" i="18" s="1"/>
  <c r="H68" i="7"/>
  <c r="I49" i="9"/>
  <c r="I78" i="9"/>
  <c r="G1022" i="18"/>
  <c r="I1022" i="18" s="1"/>
  <c r="H82" i="23"/>
  <c r="I82" i="23" s="1"/>
  <c r="H1288" i="18"/>
  <c r="I1288" i="18" s="1"/>
  <c r="H31" i="7"/>
  <c r="J31" i="7" s="1"/>
  <c r="D149" i="17"/>
  <c r="G148" i="17"/>
  <c r="H116" i="7" l="1"/>
  <c r="I99" i="24"/>
  <c r="I100" i="24" s="1"/>
  <c r="I105" i="24" s="1"/>
  <c r="M24" i="30"/>
  <c r="O25" i="31"/>
  <c r="H1289" i="18"/>
  <c r="I1289" i="18" s="1"/>
  <c r="H32" i="7"/>
  <c r="J32" i="7" s="1"/>
  <c r="G1023" i="18"/>
  <c r="I1023" i="18" s="1"/>
  <c r="H83" i="23"/>
  <c r="I83" i="23" s="1"/>
  <c r="H1367" i="18"/>
  <c r="I1367" i="18" s="1"/>
  <c r="H70" i="7"/>
  <c r="H1347" i="18"/>
  <c r="I1346" i="18"/>
  <c r="H73" i="4"/>
  <c r="I73" i="4" s="1"/>
  <c r="H72" i="4"/>
  <c r="I72" i="4" s="1"/>
  <c r="H1328" i="18"/>
  <c r="I1328" i="18" s="1"/>
  <c r="H95" i="7"/>
  <c r="H1152" i="18"/>
  <c r="I1152" i="18" s="1"/>
  <c r="H136" i="21"/>
  <c r="K136" i="21" s="1"/>
  <c r="H1269" i="18"/>
  <c r="I1269" i="18" s="1"/>
  <c r="H221" i="21"/>
  <c r="I527" i="18"/>
  <c r="I532" i="18" s="1"/>
  <c r="H74" i="4" s="1"/>
  <c r="I74" i="4" s="1"/>
  <c r="F535" i="18"/>
  <c r="D150" i="17"/>
  <c r="G149" i="17"/>
  <c r="H118" i="7" l="1"/>
  <c r="I65" i="24"/>
  <c r="I103" i="24"/>
  <c r="L105" i="24" s="1"/>
  <c r="F568" i="18"/>
  <c r="I535" i="18"/>
  <c r="I539" i="18" s="1"/>
  <c r="H79" i="4" s="1"/>
  <c r="I79" i="4" s="1"/>
  <c r="I108" i="4" s="1"/>
  <c r="H1270" i="18"/>
  <c r="I1270" i="18" s="1"/>
  <c r="H222" i="21"/>
  <c r="H1153" i="18"/>
  <c r="I1153" i="18" s="1"/>
  <c r="H137" i="21"/>
  <c r="K137" i="21" s="1"/>
  <c r="H1329" i="18"/>
  <c r="I1329" i="18" s="1"/>
  <c r="H97" i="7"/>
  <c r="I1347" i="18"/>
  <c r="H1348" i="18"/>
  <c r="H1368" i="18"/>
  <c r="I1368" i="18" s="1"/>
  <c r="H72" i="7"/>
  <c r="G1024" i="18"/>
  <c r="I1024" i="18" s="1"/>
  <c r="H84" i="23"/>
  <c r="I84" i="23" s="1"/>
  <c r="H1290" i="18"/>
  <c r="I1290" i="18" s="1"/>
  <c r="H33" i="7"/>
  <c r="D151" i="17"/>
  <c r="G150" i="17"/>
  <c r="H120" i="7" l="1"/>
  <c r="E107" i="24"/>
  <c r="H34" i="7"/>
  <c r="H1291" i="18"/>
  <c r="I1291" i="18" s="1"/>
  <c r="H85" i="23"/>
  <c r="I85" i="23" s="1"/>
  <c r="G1025" i="18"/>
  <c r="I1025" i="18" s="1"/>
  <c r="H74" i="7"/>
  <c r="H1369" i="18"/>
  <c r="I1369" i="18" s="1"/>
  <c r="H99" i="7"/>
  <c r="H1330" i="18"/>
  <c r="I1330" i="18" s="1"/>
  <c r="H138" i="21"/>
  <c r="K138" i="21" s="1"/>
  <c r="H1154" i="18"/>
  <c r="I1154" i="18" s="1"/>
  <c r="F575" i="18"/>
  <c r="I568" i="18"/>
  <c r="I572" i="18" s="1"/>
  <c r="I1348" i="18"/>
  <c r="H1349" i="18"/>
  <c r="H51" i="4"/>
  <c r="I107" i="4"/>
  <c r="L109" i="4" s="1"/>
  <c r="D152" i="17"/>
  <c r="G151" i="17"/>
  <c r="H122" i="7" l="1"/>
  <c r="I575" i="18"/>
  <c r="I580" i="18" s="1"/>
  <c r="H67" i="5" s="1"/>
  <c r="I67" i="5" s="1"/>
  <c r="F583" i="18"/>
  <c r="I583" i="18" s="1"/>
  <c r="I587" i="18" s="1"/>
  <c r="H73" i="5" s="1"/>
  <c r="I73" i="5" s="1"/>
  <c r="H1350" i="18"/>
  <c r="I1349" i="18"/>
  <c r="H68" i="5"/>
  <c r="I68" i="5" s="1"/>
  <c r="H66" i="5"/>
  <c r="I66" i="5" s="1"/>
  <c r="H139" i="21"/>
  <c r="K139" i="21" s="1"/>
  <c r="H1155" i="18"/>
  <c r="I1155" i="18" s="1"/>
  <c r="H1331" i="18"/>
  <c r="I1331" i="18" s="1"/>
  <c r="H100" i="7"/>
  <c r="H1370" i="18"/>
  <c r="I1370" i="18" s="1"/>
  <c r="H75" i="7"/>
  <c r="G1026" i="18"/>
  <c r="I1026" i="18" s="1"/>
  <c r="H86" i="23"/>
  <c r="I86" i="23" s="1"/>
  <c r="H1292" i="18"/>
  <c r="I1292" i="18" s="1"/>
  <c r="H35" i="7"/>
  <c r="D153" i="17"/>
  <c r="G152" i="17"/>
  <c r="H76" i="7" l="1"/>
  <c r="H124" i="7"/>
  <c r="H102" i="7"/>
  <c r="I103" i="5"/>
  <c r="I102" i="5" s="1"/>
  <c r="L103" i="5" s="1"/>
  <c r="H36" i="7"/>
  <c r="H1293" i="18"/>
  <c r="I1293" i="18" s="1"/>
  <c r="H87" i="23"/>
  <c r="I87" i="23" s="1"/>
  <c r="G1027" i="18"/>
  <c r="I1027" i="18" s="1"/>
  <c r="I1350" i="18"/>
  <c r="H1351" i="18"/>
  <c r="I1351" i="18" s="1"/>
  <c r="H140" i="21"/>
  <c r="K140" i="21" s="1"/>
  <c r="H1156" i="18"/>
  <c r="I1156" i="18" s="1"/>
  <c r="D154" i="17"/>
  <c r="G153" i="17"/>
  <c r="H126" i="7" l="1"/>
  <c r="H125" i="7"/>
  <c r="H49" i="5"/>
  <c r="H1157" i="18"/>
  <c r="I1157" i="18" s="1"/>
  <c r="H141" i="21"/>
  <c r="K141" i="21" s="1"/>
  <c r="G1028" i="18"/>
  <c r="I1028" i="18" s="1"/>
  <c r="H88" i="23"/>
  <c r="I88" i="23" s="1"/>
  <c r="H1294" i="18"/>
  <c r="I1294" i="18" s="1"/>
  <c r="H37" i="7"/>
  <c r="D155" i="17"/>
  <c r="G154" i="17"/>
  <c r="H38" i="7" l="1"/>
  <c r="H1295" i="18"/>
  <c r="I1295" i="18" s="1"/>
  <c r="H89" i="23"/>
  <c r="I89" i="23" s="1"/>
  <c r="G1029" i="18"/>
  <c r="I1029" i="18" s="1"/>
  <c r="H142" i="21"/>
  <c r="K142" i="21" s="1"/>
  <c r="H1158" i="18"/>
  <c r="I1158" i="18" s="1"/>
  <c r="D156" i="17"/>
  <c r="G155" i="17"/>
  <c r="H143" i="21" l="1"/>
  <c r="K143" i="21" s="1"/>
  <c r="H1159" i="18"/>
  <c r="I1159" i="18" s="1"/>
  <c r="G1030" i="18"/>
  <c r="I1030" i="18" s="1"/>
  <c r="H90" i="23"/>
  <c r="I90" i="23" s="1"/>
  <c r="H1296" i="18"/>
  <c r="I1296" i="18" s="1"/>
  <c r="H39" i="7"/>
  <c r="D157" i="17"/>
  <c r="G156" i="17"/>
  <c r="H1297" i="18" l="1"/>
  <c r="I1297" i="18" s="1"/>
  <c r="H40" i="7"/>
  <c r="G1031" i="18"/>
  <c r="I1031" i="18" s="1"/>
  <c r="H91" i="23"/>
  <c r="I91" i="23" s="1"/>
  <c r="H144" i="21"/>
  <c r="K144" i="21" s="1"/>
  <c r="H1160" i="18"/>
  <c r="I1160" i="18" s="1"/>
  <c r="D158" i="17"/>
  <c r="G157" i="17"/>
  <c r="G1032" i="18" l="1"/>
  <c r="I1032" i="18" s="1"/>
  <c r="H92" i="23"/>
  <c r="I92" i="23" s="1"/>
  <c r="H1298" i="18"/>
  <c r="I1298" i="18" s="1"/>
  <c r="H41" i="7"/>
  <c r="H145" i="21"/>
  <c r="K145" i="21" s="1"/>
  <c r="H1161" i="18"/>
  <c r="I1161" i="18" s="1"/>
  <c r="D159" i="17"/>
  <c r="G158" i="17"/>
  <c r="H1299" i="18" l="1"/>
  <c r="I1299" i="18" s="1"/>
  <c r="H42" i="7"/>
  <c r="G1033" i="18"/>
  <c r="I1033" i="18" s="1"/>
  <c r="H93" i="23"/>
  <c r="I93" i="23" s="1"/>
  <c r="H146" i="21"/>
  <c r="K146" i="21" s="1"/>
  <c r="H1162" i="18"/>
  <c r="I1162" i="18" s="1"/>
  <c r="D160" i="17"/>
  <c r="G159" i="17"/>
  <c r="G1034" i="18" l="1"/>
  <c r="I1034" i="18" s="1"/>
  <c r="H94" i="23"/>
  <c r="I94" i="23" s="1"/>
  <c r="H1300" i="18"/>
  <c r="I1300" i="18" s="1"/>
  <c r="H43" i="7"/>
  <c r="H147" i="21"/>
  <c r="K147" i="21" s="1"/>
  <c r="H1163" i="18"/>
  <c r="I1163" i="18" s="1"/>
  <c r="D161" i="17"/>
  <c r="G160" i="17"/>
  <c r="H1301" i="18" l="1"/>
  <c r="I1301" i="18" s="1"/>
  <c r="H44" i="7"/>
  <c r="G1035" i="18"/>
  <c r="I1035" i="18" s="1"/>
  <c r="H95" i="23"/>
  <c r="I95" i="23" s="1"/>
  <c r="H148" i="21"/>
  <c r="K148" i="21" s="1"/>
  <c r="H1164" i="18"/>
  <c r="I1164" i="18" s="1"/>
  <c r="D162" i="17"/>
  <c r="G161" i="17"/>
  <c r="G1036" i="18" l="1"/>
  <c r="I1036" i="18" s="1"/>
  <c r="H96" i="23"/>
  <c r="I96" i="23" s="1"/>
  <c r="H1302" i="18"/>
  <c r="I1302" i="18" s="1"/>
  <c r="H45" i="7"/>
  <c r="H149" i="21"/>
  <c r="K149" i="21" s="1"/>
  <c r="H1165" i="18"/>
  <c r="I1165" i="18" s="1"/>
  <c r="D163" i="17"/>
  <c r="G162" i="17"/>
  <c r="H1303" i="18" l="1"/>
  <c r="I1303" i="18" s="1"/>
  <c r="H46" i="7"/>
  <c r="G1037" i="18"/>
  <c r="I1037" i="18" s="1"/>
  <c r="H97" i="23"/>
  <c r="I97" i="23" s="1"/>
  <c r="H150" i="21"/>
  <c r="K150" i="21" s="1"/>
  <c r="H1166" i="18"/>
  <c r="I1166" i="18" s="1"/>
  <c r="D164" i="17"/>
  <c r="G163" i="17"/>
  <c r="G1038" i="18" l="1"/>
  <c r="I1038" i="18" s="1"/>
  <c r="G1039" i="18" s="1"/>
  <c r="I1039" i="18" s="1"/>
  <c r="H98" i="23"/>
  <c r="I98" i="23" s="1"/>
  <c r="H1304" i="18"/>
  <c r="I1304" i="18" s="1"/>
  <c r="H47" i="7"/>
  <c r="H151" i="21"/>
  <c r="K151" i="21" s="1"/>
  <c r="H1167" i="18"/>
  <c r="I1167" i="18" s="1"/>
  <c r="D165" i="17"/>
  <c r="G164" i="17"/>
  <c r="H1305" i="18" l="1"/>
  <c r="I1305" i="18" s="1"/>
  <c r="H48" i="7"/>
  <c r="H152" i="21"/>
  <c r="K152" i="21" s="1"/>
  <c r="H1168" i="18"/>
  <c r="I1168" i="18" s="1"/>
  <c r="D166" i="17"/>
  <c r="G165" i="17"/>
  <c r="H1306" i="18" l="1"/>
  <c r="I1306" i="18" s="1"/>
  <c r="H49" i="7"/>
  <c r="H153" i="21"/>
  <c r="K153" i="21" s="1"/>
  <c r="H1169" i="18"/>
  <c r="I1169" i="18" s="1"/>
  <c r="D167" i="17"/>
  <c r="G166" i="17"/>
  <c r="H1307" i="18" l="1"/>
  <c r="I1307" i="18" s="1"/>
  <c r="H50" i="7"/>
  <c r="H154" i="21"/>
  <c r="K154" i="21" s="1"/>
  <c r="H1170" i="18"/>
  <c r="I1170" i="18" s="1"/>
  <c r="D168" i="17"/>
  <c r="G167" i="17"/>
  <c r="H1308" i="18" l="1"/>
  <c r="I1308" i="18" s="1"/>
  <c r="H51" i="7"/>
  <c r="H155" i="21"/>
  <c r="K155" i="21" s="1"/>
  <c r="H1171" i="18"/>
  <c r="I1171" i="18" s="1"/>
  <c r="H156" i="21" s="1"/>
  <c r="K156" i="21" s="1"/>
  <c r="D169" i="17"/>
  <c r="G168" i="17"/>
  <c r="H1309" i="18" l="1"/>
  <c r="I1309" i="18" s="1"/>
  <c r="H52" i="7"/>
  <c r="D170" i="17"/>
  <c r="G169" i="17"/>
  <c r="H1310" i="18" l="1"/>
  <c r="I1310" i="18" s="1"/>
  <c r="H53" i="7"/>
  <c r="D171" i="17"/>
  <c r="G170" i="17"/>
  <c r="H1311" i="18" l="1"/>
  <c r="I1311" i="18" s="1"/>
  <c r="H54" i="7"/>
  <c r="D172" i="17"/>
  <c r="G171" i="17"/>
  <c r="H55" i="7" l="1"/>
  <c r="J150" i="7"/>
  <c r="I155" i="23" s="1"/>
  <c r="D173" i="17"/>
  <c r="G172" i="17"/>
  <c r="K229" i="21" l="1"/>
  <c r="J4" i="7"/>
  <c r="I163" i="23"/>
  <c r="E203" i="23"/>
  <c r="L216" i="21"/>
  <c r="K216" i="21" s="1"/>
  <c r="L215" i="21"/>
  <c r="K215" i="21" s="1"/>
  <c r="L214" i="21"/>
  <c r="K214" i="21" s="1"/>
  <c r="L218" i="21"/>
  <c r="K218" i="21" s="1"/>
  <c r="L220" i="21"/>
  <c r="K220" i="21" s="1"/>
  <c r="L219" i="21"/>
  <c r="K219" i="21" s="1"/>
  <c r="L221" i="21"/>
  <c r="K221" i="21" s="1"/>
  <c r="L222" i="21"/>
  <c r="K222" i="21" s="1"/>
  <c r="L217" i="21"/>
  <c r="K217" i="21" s="1"/>
  <c r="D174" i="17"/>
  <c r="G173" i="17"/>
  <c r="K239" i="21" l="1"/>
  <c r="K89" i="21" s="1"/>
  <c r="H59" i="23"/>
  <c r="I162" i="23"/>
  <c r="L168" i="23" s="1"/>
  <c r="D175" i="17"/>
  <c r="G174" i="17"/>
  <c r="K90" i="21" l="1"/>
  <c r="K238" i="21"/>
  <c r="D176" i="17"/>
  <c r="G175" i="17"/>
  <c r="D177" i="17" l="1"/>
  <c r="G176" i="17"/>
  <c r="D178" i="17" l="1"/>
  <c r="G177" i="17"/>
  <c r="D179" i="17" l="1"/>
  <c r="G178" i="17"/>
  <c r="D180" i="17" l="1"/>
  <c r="G179" i="17"/>
  <c r="D181" i="17" l="1"/>
  <c r="G180" i="17"/>
  <c r="D182" i="17" l="1"/>
  <c r="G181" i="17"/>
  <c r="D183" i="17" l="1"/>
  <c r="G182" i="17"/>
  <c r="D184" i="17" l="1"/>
  <c r="G183" i="17"/>
  <c r="D185" i="17" l="1"/>
  <c r="G184" i="17"/>
  <c r="D186" i="17" l="1"/>
  <c r="G185" i="17"/>
  <c r="D187" i="17" l="1"/>
  <c r="G186" i="17"/>
  <c r="D188" i="17" l="1"/>
  <c r="G187" i="17"/>
  <c r="D189" i="17" l="1"/>
  <c r="G188" i="17"/>
  <c r="D190" i="17" l="1"/>
  <c r="G189" i="17"/>
  <c r="D191" i="17" l="1"/>
  <c r="G190" i="17"/>
  <c r="D192" i="17" l="1"/>
  <c r="G191" i="17"/>
  <c r="D193" i="17" l="1"/>
  <c r="G192" i="17"/>
  <c r="D194" i="17" l="1"/>
  <c r="G193" i="17"/>
  <c r="D195" i="17" l="1"/>
  <c r="G194" i="17"/>
  <c r="D196" i="17" l="1"/>
  <c r="G195" i="17"/>
  <c r="D197" i="17" l="1"/>
  <c r="G196" i="17"/>
  <c r="D198" i="17" l="1"/>
  <c r="G197" i="17"/>
  <c r="D199" i="17" l="1"/>
  <c r="G198" i="17"/>
  <c r="D200" i="17" l="1"/>
  <c r="G199" i="17"/>
  <c r="D201" i="17" l="1"/>
  <c r="G200" i="17"/>
  <c r="D202" i="17" l="1"/>
  <c r="G201" i="17"/>
  <c r="D203" i="17" l="1"/>
  <c r="G202" i="17"/>
  <c r="D204" i="17" l="1"/>
  <c r="G203" i="17"/>
  <c r="D205" i="17" l="1"/>
  <c r="G204" i="17"/>
  <c r="D206" i="17" l="1"/>
  <c r="G205" i="17"/>
  <c r="D207" i="17" l="1"/>
  <c r="G206" i="17"/>
  <c r="D208" i="17" l="1"/>
  <c r="G207" i="17"/>
  <c r="D209" i="17" l="1"/>
  <c r="G208" i="17"/>
  <c r="D210" i="17" l="1"/>
  <c r="G209" i="17"/>
  <c r="D211" i="17" l="1"/>
  <c r="G210" i="17"/>
  <c r="D212" i="17" l="1"/>
  <c r="G211" i="17"/>
  <c r="D213" i="17" l="1"/>
  <c r="G212" i="17"/>
  <c r="D214" i="17" l="1"/>
  <c r="G213" i="17"/>
  <c r="D215" i="17" l="1"/>
  <c r="G214" i="17"/>
  <c r="D216" i="17" l="1"/>
  <c r="G215" i="17"/>
  <c r="D217" i="17" l="1"/>
  <c r="G216" i="17"/>
  <c r="D218" i="17" l="1"/>
  <c r="G217" i="17"/>
  <c r="D219" i="17" l="1"/>
  <c r="G218" i="17"/>
  <c r="D220" i="17" l="1"/>
  <c r="G219" i="17"/>
  <c r="D221" i="17" l="1"/>
  <c r="G220" i="17"/>
  <c r="D222" i="17" l="1"/>
  <c r="G221" i="17"/>
  <c r="D223" i="17" l="1"/>
  <c r="G222" i="17"/>
  <c r="D224" i="17" l="1"/>
  <c r="G223" i="17"/>
  <c r="D225" i="17" l="1"/>
  <c r="G224" i="17"/>
  <c r="D226" i="17" l="1"/>
  <c r="G225" i="17"/>
  <c r="D227" i="17" l="1"/>
  <c r="G226" i="17"/>
  <c r="D228" i="17" l="1"/>
  <c r="G227" i="17"/>
  <c r="D229" i="17" l="1"/>
  <c r="G228" i="17"/>
  <c r="D230" i="17" l="1"/>
  <c r="G229" i="17"/>
  <c r="D231" i="17" l="1"/>
  <c r="G230" i="17"/>
  <c r="D232" i="17" l="1"/>
  <c r="G231" i="17"/>
  <c r="D233" i="17" l="1"/>
  <c r="G232" i="17"/>
  <c r="D234" i="17" l="1"/>
  <c r="G233" i="17"/>
  <c r="D235" i="17" l="1"/>
  <c r="G234" i="17"/>
  <c r="D236" i="17" l="1"/>
  <c r="G235" i="17"/>
  <c r="D237" i="17" l="1"/>
  <c r="G236" i="17"/>
  <c r="D238" i="17" l="1"/>
  <c r="G237" i="17"/>
  <c r="D239" i="17" l="1"/>
  <c r="G238" i="17"/>
  <c r="D240" i="17" l="1"/>
  <c r="G239" i="17"/>
  <c r="D241" i="17" l="1"/>
  <c r="G240" i="17"/>
  <c r="D242" i="17" l="1"/>
  <c r="G241" i="17"/>
  <c r="D243" i="17" l="1"/>
  <c r="G242" i="17"/>
  <c r="D244" i="17" l="1"/>
  <c r="G243" i="17"/>
  <c r="D245" i="17" l="1"/>
  <c r="G244" i="17"/>
  <c r="D246" i="17" l="1"/>
  <c r="G245" i="17"/>
  <c r="D247" i="17" l="1"/>
  <c r="G246" i="17"/>
  <c r="D248" i="17" l="1"/>
  <c r="G247" i="17"/>
  <c r="D249" i="17" l="1"/>
  <c r="G248" i="17"/>
  <c r="D250" i="17" l="1"/>
  <c r="G249" i="17"/>
  <c r="D251" i="17" l="1"/>
  <c r="G250" i="17"/>
  <c r="D252" i="17" l="1"/>
  <c r="G251" i="17"/>
  <c r="D253" i="17" l="1"/>
  <c r="G252" i="17"/>
  <c r="D254" i="17" l="1"/>
  <c r="G253" i="17"/>
  <c r="D255" i="17" l="1"/>
  <c r="G254" i="17"/>
  <c r="D256" i="17" l="1"/>
  <c r="G255" i="17"/>
  <c r="D257" i="17" l="1"/>
  <c r="G256" i="17"/>
  <c r="D258" i="17" l="1"/>
  <c r="G257" i="17"/>
  <c r="D259" i="17" l="1"/>
  <c r="G258" i="17"/>
  <c r="D260" i="17" l="1"/>
  <c r="G259" i="17"/>
  <c r="D261" i="17" l="1"/>
  <c r="G260" i="17"/>
  <c r="D262" i="17" l="1"/>
  <c r="G261" i="17"/>
  <c r="D263" i="17" l="1"/>
  <c r="G262" i="17"/>
  <c r="D264" i="17" l="1"/>
  <c r="G263" i="17"/>
  <c r="D265" i="17" l="1"/>
  <c r="G264" i="17"/>
  <c r="D266" i="17" l="1"/>
  <c r="G265" i="17"/>
  <c r="D267" i="17" l="1"/>
  <c r="G266" i="17"/>
  <c r="D268" i="17" l="1"/>
  <c r="G267" i="17"/>
  <c r="D269" i="17" l="1"/>
  <c r="G268" i="17"/>
  <c r="D270" i="17" l="1"/>
  <c r="G269" i="17"/>
  <c r="D271" i="17" l="1"/>
  <c r="G270" i="17"/>
  <c r="D272" i="17" l="1"/>
  <c r="G271" i="17"/>
  <c r="D273" i="17" l="1"/>
  <c r="G272" i="17"/>
  <c r="D274" i="17" l="1"/>
  <c r="G273" i="17"/>
  <c r="D275" i="17" l="1"/>
  <c r="G274" i="17"/>
  <c r="D276" i="17" l="1"/>
  <c r="G275" i="17"/>
  <c r="D277" i="17" l="1"/>
  <c r="G276" i="17"/>
  <c r="D278" i="17" l="1"/>
  <c r="G277" i="17"/>
  <c r="D279" i="17" l="1"/>
  <c r="G278" i="17"/>
  <c r="D280" i="17" l="1"/>
  <c r="G279" i="17"/>
  <c r="D281" i="17" l="1"/>
  <c r="G280" i="17"/>
  <c r="D282" i="17" l="1"/>
  <c r="G281" i="17"/>
  <c r="D283" i="17" l="1"/>
  <c r="G282" i="17"/>
  <c r="D284" i="17" l="1"/>
  <c r="G283" i="17"/>
  <c r="D285" i="17" l="1"/>
  <c r="G284" i="17"/>
  <c r="D286" i="17" l="1"/>
  <c r="G285" i="17"/>
  <c r="D287" i="17" l="1"/>
  <c r="G286" i="17"/>
  <c r="D288" i="17" l="1"/>
  <c r="G287" i="17"/>
  <c r="D289" i="17" l="1"/>
  <c r="G288" i="17"/>
  <c r="D290" i="17" l="1"/>
  <c r="G289" i="17"/>
  <c r="D291" i="17" l="1"/>
  <c r="G290" i="17"/>
  <c r="D292" i="17" l="1"/>
  <c r="G291" i="17"/>
  <c r="D293" i="17" l="1"/>
  <c r="G292" i="17"/>
  <c r="D294" i="17" l="1"/>
  <c r="G293" i="17"/>
  <c r="D295" i="17" l="1"/>
  <c r="G294" i="17"/>
  <c r="D296" i="17" l="1"/>
  <c r="G295" i="17"/>
  <c r="D297" i="17" l="1"/>
  <c r="G296" i="17"/>
  <c r="D298" i="17" l="1"/>
  <c r="G297" i="17"/>
  <c r="D299" i="17" l="1"/>
  <c r="G298" i="17"/>
  <c r="D300" i="17" l="1"/>
  <c r="G299" i="17"/>
  <c r="D301" i="17" l="1"/>
  <c r="G300" i="17"/>
  <c r="D302" i="17" l="1"/>
  <c r="G301" i="17"/>
  <c r="D303" i="17" l="1"/>
  <c r="G302" i="17"/>
  <c r="D304" i="17" l="1"/>
  <c r="G303" i="17"/>
  <c r="D305" i="17" l="1"/>
  <c r="G304" i="17"/>
  <c r="D306" i="17" l="1"/>
  <c r="G305" i="17"/>
  <c r="D307" i="17" l="1"/>
  <c r="G306" i="17"/>
  <c r="D308" i="17" l="1"/>
  <c r="G307" i="17"/>
  <c r="D309" i="17" l="1"/>
  <c r="G308" i="17"/>
  <c r="D310" i="17" l="1"/>
  <c r="G309" i="17"/>
  <c r="D311" i="17" l="1"/>
  <c r="G310" i="17"/>
  <c r="D312" i="17" l="1"/>
  <c r="G311" i="17"/>
  <c r="D313" i="17" l="1"/>
  <c r="G312" i="17"/>
  <c r="D314" i="17" l="1"/>
  <c r="G313" i="17"/>
  <c r="D315" i="17" l="1"/>
  <c r="G314" i="17"/>
  <c r="D316" i="17" l="1"/>
  <c r="G315" i="17"/>
  <c r="D317" i="17" l="1"/>
  <c r="G316" i="17"/>
  <c r="D318" i="17" l="1"/>
  <c r="G317" i="17"/>
  <c r="D319" i="17" l="1"/>
  <c r="G319" i="17" s="1"/>
  <c r="G318" i="17"/>
</calcChain>
</file>

<file path=xl/sharedStrings.xml><?xml version="1.0" encoding="utf-8"?>
<sst xmlns="http://schemas.openxmlformats.org/spreadsheetml/2006/main" count="6778" uniqueCount="2183">
  <si>
    <t>Population growth rate ( % )</t>
  </si>
  <si>
    <t>Estimate prepare Year</t>
  </si>
  <si>
    <t>Base year population</t>
  </si>
  <si>
    <t>Prospective population (10 years)</t>
  </si>
  <si>
    <t xml:space="preserve"> including 2 years for commissionig</t>
  </si>
  <si>
    <t xml:space="preserve">Ultimate population (20 years) </t>
  </si>
  <si>
    <t>including 2 years for commissionig</t>
  </si>
  <si>
    <t>Hours of Operation</t>
  </si>
  <si>
    <t>Raw water demand</t>
  </si>
  <si>
    <t>Lpcd</t>
  </si>
  <si>
    <t>Clear water demand</t>
  </si>
  <si>
    <t>R.water</t>
  </si>
  <si>
    <t>C.Water</t>
  </si>
  <si>
    <t>Base Year</t>
  </si>
  <si>
    <t xml:space="preserve">Prospective demand  </t>
  </si>
  <si>
    <t>Ultimate demand</t>
  </si>
  <si>
    <t>L.P.M</t>
  </si>
  <si>
    <t xml:space="preserve">Summer Storage Tank </t>
  </si>
  <si>
    <t xml:space="preserve">Canal closer period </t>
  </si>
  <si>
    <t>days</t>
  </si>
  <si>
    <t>Cum</t>
  </si>
  <si>
    <t xml:space="preserve">Extra Period </t>
  </si>
  <si>
    <t>days for canal Uncerinity</t>
  </si>
  <si>
    <t>Total</t>
  </si>
  <si>
    <t>Seepage &amp; Evoparation looses @ 40%</t>
  </si>
  <si>
    <t>Net capacity</t>
  </si>
  <si>
    <t>Raw water demand calculation from canal to SS tank</t>
  </si>
  <si>
    <t>( for canal closer period</t>
  </si>
  <si>
    <t>days)</t>
  </si>
  <si>
    <t>SS tank capacity</t>
  </si>
  <si>
    <t>For regular supply of</t>
  </si>
  <si>
    <t>Total Qty for year</t>
  </si>
  <si>
    <t>Hours of Supply</t>
  </si>
  <si>
    <t>LPM</t>
  </si>
  <si>
    <t>Ultimate</t>
  </si>
  <si>
    <t>MLD</t>
  </si>
  <si>
    <t>Prospective</t>
  </si>
  <si>
    <t>Base</t>
  </si>
  <si>
    <t>Raw water pipe line length</t>
  </si>
  <si>
    <t>m</t>
  </si>
  <si>
    <t>As per economical pumping main AC cl-15 350mm dia is economical</t>
  </si>
  <si>
    <t>Raw water pumping main from SST to Micro Filter</t>
  </si>
  <si>
    <t>Hours of Pumping</t>
  </si>
  <si>
    <t>Ultime</t>
  </si>
  <si>
    <t>As per economical pumping main HDPE- 4 Kg/cm2, 200mm dia is economical</t>
  </si>
  <si>
    <t>100 M</t>
  </si>
  <si>
    <t>Clear water pumping main from sump to OHBR</t>
  </si>
  <si>
    <t>As per economical pumping main AC cl-20,   250mm dia is economical</t>
  </si>
  <si>
    <t>are economical</t>
  </si>
  <si>
    <t>11000 M</t>
  </si>
  <si>
    <t>SS Filters</t>
  </si>
  <si>
    <t>Prospective daily demand</t>
  </si>
  <si>
    <t>With 100 lts/sqmt/hr area required</t>
  </si>
  <si>
    <t>/(20x0.10+0.5)</t>
  </si>
  <si>
    <t>sqmt</t>
  </si>
  <si>
    <t>Existing Area</t>
  </si>
  <si>
    <t>Net req</t>
  </si>
  <si>
    <t xml:space="preserve">Proposing </t>
  </si>
  <si>
    <t>Area</t>
  </si>
  <si>
    <t>Provided area</t>
  </si>
  <si>
    <t>Sqmt</t>
  </si>
  <si>
    <t>Rapid Sand Filter</t>
  </si>
  <si>
    <t>Capacity Requirement</t>
  </si>
  <si>
    <t>For 24 Hours Operation</t>
  </si>
  <si>
    <t>Existing</t>
  </si>
  <si>
    <t>Balance required</t>
  </si>
  <si>
    <t>Provide</t>
  </si>
  <si>
    <t>Clear water sump</t>
  </si>
  <si>
    <t>lpm</t>
  </si>
  <si>
    <t>Capacity required</t>
  </si>
  <si>
    <t>minites</t>
  </si>
  <si>
    <t>Net required</t>
  </si>
  <si>
    <t>KL</t>
  </si>
  <si>
    <t>OHBR</t>
  </si>
  <si>
    <t>For 70 LPCD</t>
  </si>
  <si>
    <t xml:space="preserve">Capacity required </t>
  </si>
  <si>
    <t>min</t>
  </si>
  <si>
    <t>Lts</t>
  </si>
  <si>
    <t>BPT</t>
  </si>
  <si>
    <t>For 55 LPCD</t>
  </si>
  <si>
    <t>Pros Population</t>
  </si>
  <si>
    <t>OHSR's</t>
  </si>
  <si>
    <t>lpcd</t>
  </si>
  <si>
    <t>Sno</t>
  </si>
  <si>
    <t>Hab Name</t>
  </si>
  <si>
    <t>Population</t>
  </si>
  <si>
    <t>OHSR-Req</t>
  </si>
  <si>
    <t>Bal req</t>
  </si>
  <si>
    <t>Provided</t>
  </si>
  <si>
    <t>Pumpsets</t>
  </si>
  <si>
    <t>efficiency</t>
  </si>
  <si>
    <t>a</t>
  </si>
  <si>
    <t>canal to SST</t>
  </si>
  <si>
    <t>if VT</t>
  </si>
  <si>
    <t>Head</t>
  </si>
  <si>
    <t>others</t>
  </si>
  <si>
    <t>H.P required</t>
  </si>
  <si>
    <t>/4500 X0.50</t>
  </si>
  <si>
    <t xml:space="preserve">40 H.P </t>
  </si>
  <si>
    <t>1 No+1 Standbye</t>
  </si>
  <si>
    <t>2 Nos</t>
  </si>
  <si>
    <t>b</t>
  </si>
  <si>
    <t>SST to Micro Filter</t>
  </si>
  <si>
    <t xml:space="preserve">7.5 H.P </t>
  </si>
  <si>
    <t>a)</t>
  </si>
  <si>
    <t>Headworks sump to OHBR</t>
  </si>
  <si>
    <t xml:space="preserve">60 H.P </t>
  </si>
  <si>
    <t>2 No+1 Standbye</t>
  </si>
  <si>
    <t>3 Nos</t>
  </si>
  <si>
    <t>d</t>
  </si>
  <si>
    <t>Sump to OHBR</t>
  </si>
  <si>
    <t>5 H.p</t>
  </si>
  <si>
    <t xml:space="preserve"> 1No+1 Standbye</t>
  </si>
  <si>
    <t>Input data</t>
  </si>
  <si>
    <t>Side wall height</t>
  </si>
  <si>
    <t>Valve Chamber dia</t>
  </si>
  <si>
    <t>Isolated Works</t>
  </si>
  <si>
    <t>0.9 mt dia</t>
  </si>
  <si>
    <t>1.05 mt dia</t>
  </si>
  <si>
    <t>1.2 mt dia</t>
  </si>
  <si>
    <t>1.5 mt dia</t>
  </si>
  <si>
    <t>Top slab</t>
  </si>
  <si>
    <t/>
  </si>
  <si>
    <t>Side wall thickness</t>
  </si>
  <si>
    <t>CC(1:4:8)</t>
  </si>
  <si>
    <t>Sand filling</t>
  </si>
  <si>
    <t xml:space="preserve">    Valve Chamber for pipe dia of</t>
  </si>
  <si>
    <t>Concrete Mix</t>
  </si>
  <si>
    <t>: M20</t>
  </si>
  <si>
    <t xml:space="preserve">Steel  </t>
  </si>
  <si>
    <t>: Fe 415</t>
  </si>
  <si>
    <t xml:space="preserve">Note : I. All dimensions are in Mts </t>
  </si>
  <si>
    <t xml:space="preserve">         II.Reinforcemnt detailing shall be accordance with IS-SP 34</t>
  </si>
  <si>
    <t xml:space="preserve">Detailed cum abstract Estimate </t>
  </si>
  <si>
    <t xml:space="preserve">        Name of the Sub work: Construction of Valve Chamber</t>
  </si>
  <si>
    <t>Dia</t>
  </si>
  <si>
    <t>Est.Cost Rs</t>
  </si>
  <si>
    <t xml:space="preserve">S.No </t>
  </si>
  <si>
    <t xml:space="preserve">           Description</t>
  </si>
  <si>
    <t>Quantity</t>
  </si>
  <si>
    <t>Rate</t>
  </si>
  <si>
    <t>Amount</t>
  </si>
  <si>
    <r>
      <t>Earth work</t>
    </r>
    <r>
      <rPr>
        <sz val="10"/>
        <rFont val="Tahoma"/>
        <family val="2"/>
      </rPr>
      <t xml:space="preserve"> excavation in all type of soils with intial lead and lift etc complete</t>
    </r>
  </si>
  <si>
    <r>
      <t>1x</t>
    </r>
    <r>
      <rPr>
        <sz val="10"/>
        <rFont val="Symbol"/>
        <family val="1"/>
        <charset val="2"/>
      </rPr>
      <t>p/4</t>
    </r>
  </si>
  <si>
    <r>
      <t>CC(1:4:8)</t>
    </r>
    <r>
      <rPr>
        <sz val="10"/>
        <rFont val="Tahoma"/>
        <family val="2"/>
      </rPr>
      <t>using 40 mm HBG metal icluding Cost and conveyance of the all materials etc complete.</t>
    </r>
  </si>
  <si>
    <r>
      <t>Filling the Foundation</t>
    </r>
    <r>
      <rPr>
        <sz val="10"/>
        <rFont val="Tahoma"/>
        <family val="2"/>
      </rPr>
      <t xml:space="preserve"> with </t>
    </r>
    <r>
      <rPr>
        <b/>
        <sz val="10"/>
        <rFont val="Tahoma"/>
        <family val="2"/>
      </rPr>
      <t>sand</t>
    </r>
    <r>
      <rPr>
        <sz val="10"/>
        <rFont val="Tahoma"/>
        <family val="2"/>
      </rPr>
      <t xml:space="preserve"> including cost,conveyance ,watering and ramming etc complete.</t>
    </r>
  </si>
  <si>
    <r>
      <t>RCC(1:1.5:3) using 20 mm HBG metal including cost and conveyance of all the materials,but excluding the cost of the steel etc complete for</t>
    </r>
    <r>
      <rPr>
        <b/>
        <sz val="10"/>
        <rFont val="Tahoma"/>
        <family val="2"/>
      </rPr>
      <t xml:space="preserve"> Side Wall</t>
    </r>
  </si>
  <si>
    <t>p</t>
  </si>
  <si>
    <t>RCC(1:1.5:3) using 20 mm HBG metal including cost and conveyance of all the materials,but excluding the cost of the steel etc complete for Top Slab</t>
  </si>
  <si>
    <t>Slab</t>
  </si>
  <si>
    <t>Manhole</t>
  </si>
  <si>
    <r>
      <t>Cement plastering</t>
    </r>
    <r>
      <rPr>
        <sz val="10"/>
        <rFont val="Tahoma"/>
        <family val="2"/>
      </rPr>
      <t xml:space="preserve"> with CM(1:3),12mm thick including cost and conveyance of all the materials ect complete.</t>
    </r>
  </si>
  <si>
    <t>Side wall inside</t>
  </si>
  <si>
    <t>Bottom</t>
  </si>
  <si>
    <t>Cover slab top</t>
  </si>
  <si>
    <t>Deduction</t>
  </si>
  <si>
    <r>
      <t xml:space="preserve">Supply and placing of the </t>
    </r>
    <r>
      <rPr>
        <b/>
        <sz val="10"/>
        <rFont val="Tahoma"/>
        <family val="2"/>
      </rPr>
      <t>HYSD</t>
    </r>
    <r>
      <rPr>
        <sz val="10"/>
        <rFont val="Tahoma"/>
        <family val="2"/>
      </rPr>
      <t xml:space="preserve"> bars, fabrication including cost and conveyance of all the materials etc complete.</t>
    </r>
  </si>
  <si>
    <t>RCC(1:1.5:3) using 20 mm HBG metal including cost and conveyance of all the materials,but excluding the cost of the steel etc complete for Side Wall</t>
  </si>
  <si>
    <t>Designs</t>
  </si>
  <si>
    <t>RSF</t>
  </si>
  <si>
    <t xml:space="preserve">Sump well dome type </t>
  </si>
  <si>
    <t>Total depth</t>
  </si>
  <si>
    <t>2st mattu</t>
  </si>
  <si>
    <t>Ring beam depth</t>
  </si>
  <si>
    <t>3 rd mattu</t>
  </si>
  <si>
    <t>2mts</t>
  </si>
  <si>
    <t>ring beam breadth</t>
  </si>
  <si>
    <t>4 th mattu</t>
  </si>
  <si>
    <t>0.90 Mts</t>
  </si>
  <si>
    <t>Dome thickness</t>
  </si>
  <si>
    <t>0.60 Mts</t>
  </si>
  <si>
    <t>Bell Mouth</t>
  </si>
  <si>
    <t>Duck foot bend</t>
  </si>
  <si>
    <t>Sum</t>
  </si>
  <si>
    <t xml:space="preserve">Sump well Flat type </t>
  </si>
  <si>
    <t>Top Slab thickness</t>
  </si>
  <si>
    <t xml:space="preserve">GLBR dome type </t>
  </si>
  <si>
    <t xml:space="preserve">GLBR Flat type </t>
  </si>
  <si>
    <t>RSF Rates</t>
  </si>
  <si>
    <t>RSF rates</t>
  </si>
  <si>
    <t>RSF Note:</t>
  </si>
  <si>
    <t>Chemcial House</t>
  </si>
  <si>
    <t>CH&amp;Chlorinator Room</t>
  </si>
  <si>
    <t>Bridge</t>
  </si>
  <si>
    <t>Capcity</t>
  </si>
  <si>
    <t>Side wall</t>
  </si>
  <si>
    <t>Rec Stag</t>
  </si>
  <si>
    <t>OHSR Rates</t>
  </si>
  <si>
    <t>9,6</t>
  </si>
  <si>
    <t>Capacity</t>
  </si>
  <si>
    <t>Staging</t>
  </si>
  <si>
    <t>Inlet LPM</t>
  </si>
  <si>
    <t>9.55,12.70</t>
  </si>
  <si>
    <t>12.90,9.75</t>
  </si>
  <si>
    <t>12.75,9.60</t>
  </si>
  <si>
    <t>13.05,9.90</t>
  </si>
  <si>
    <t>13.20,10.05</t>
  </si>
  <si>
    <t>Outlet LPM</t>
  </si>
  <si>
    <t>DIA</t>
  </si>
  <si>
    <t>Duckfoot</t>
  </si>
  <si>
    <t>Bellmouth</t>
  </si>
  <si>
    <t>CI Sluicevalve With Conveyacne of 10%</t>
  </si>
  <si>
    <r>
      <t>90</t>
    </r>
    <r>
      <rPr>
        <vertAlign val="superscript"/>
        <sz val="9"/>
        <rFont val="Arial"/>
        <family val="2"/>
      </rPr>
      <t xml:space="preserve">o </t>
    </r>
    <r>
      <rPr>
        <sz val="9"/>
        <rFont val="Arial"/>
        <family val="2"/>
      </rPr>
      <t>D/f bend</t>
    </r>
  </si>
  <si>
    <t>Tailpices</t>
  </si>
  <si>
    <t>Semicircular Bend</t>
  </si>
  <si>
    <t>DI Sluicevalve With Conveyacne of 5%</t>
  </si>
  <si>
    <t>SSTank</t>
  </si>
  <si>
    <t>Intake well cum pump house @ Canal</t>
  </si>
  <si>
    <t>@ SSTank</t>
  </si>
  <si>
    <t>Canal</t>
  </si>
  <si>
    <t>Intake Well at SSTank</t>
  </si>
  <si>
    <t xml:space="preserve">Dia </t>
  </si>
  <si>
    <t>Ring beam breadth</t>
  </si>
  <si>
    <t>Pump house side wall thickness</t>
  </si>
  <si>
    <t>Bottom slab thickness</t>
  </si>
  <si>
    <t>Top Slab Thickness</t>
  </si>
  <si>
    <t>Infiltration well</t>
  </si>
  <si>
    <t>Circular bend</t>
  </si>
  <si>
    <t>Cost</t>
  </si>
  <si>
    <t>Infiltration well dia</t>
  </si>
  <si>
    <t>Curb Centreing</t>
  </si>
  <si>
    <t>Floor slab thickness</t>
  </si>
  <si>
    <t>Valve Chambers</t>
  </si>
  <si>
    <t>Side Wall</t>
  </si>
  <si>
    <t>&lt;150 mm</t>
  </si>
  <si>
    <t>150-300 mm</t>
  </si>
  <si>
    <t>300-450 mm</t>
  </si>
  <si>
    <t>450-600 mm</t>
  </si>
  <si>
    <t>OHSR</t>
  </si>
  <si>
    <t>Stair case</t>
  </si>
  <si>
    <t>Flat slab</t>
  </si>
  <si>
    <t>Shaft</t>
  </si>
  <si>
    <t>Shaft side wall thickness Below G.L</t>
  </si>
  <si>
    <t>Shaft side wall thickness above G.L</t>
  </si>
  <si>
    <t>Bottom Doome</t>
  </si>
  <si>
    <t>Bottom ring Beam</t>
  </si>
  <si>
    <t>conical sude wall</t>
  </si>
  <si>
    <t>Top ring Beam</t>
  </si>
  <si>
    <t>Inner shaft side wall</t>
  </si>
  <si>
    <t>Inner shaft flat slab</t>
  </si>
  <si>
    <t>top doome</t>
  </si>
  <si>
    <t>Collection Well Girder</t>
  </si>
  <si>
    <t>ISMB</t>
  </si>
  <si>
    <t>Wt</t>
  </si>
  <si>
    <t>5-8mt</t>
  </si>
  <si>
    <t>Thickness</t>
  </si>
  <si>
    <t>8-11mt</t>
  </si>
  <si>
    <t>1st step</t>
  </si>
  <si>
    <t>11-14mt</t>
  </si>
  <si>
    <t>2nd step</t>
  </si>
  <si>
    <t>14-17mt</t>
  </si>
  <si>
    <t>3rd step</t>
  </si>
  <si>
    <t>17-20mt</t>
  </si>
  <si>
    <t>4th step</t>
  </si>
  <si>
    <t>20-23mt</t>
  </si>
  <si>
    <t>5th step</t>
  </si>
  <si>
    <t>Floor Slab thickness</t>
  </si>
  <si>
    <t>Pump House side wall</t>
  </si>
  <si>
    <t>Sump Rectangle</t>
  </si>
  <si>
    <t>Side Wall thickness-1st step</t>
  </si>
  <si>
    <t>Side Wall thickness-2nd</t>
  </si>
  <si>
    <t>In.well int dia</t>
  </si>
  <si>
    <t>Well ht above bed level</t>
  </si>
  <si>
    <t>Well dt.below bed level</t>
  </si>
  <si>
    <t>Reduce</t>
  </si>
  <si>
    <t>Out let L.P.M</t>
  </si>
  <si>
    <t>Location</t>
  </si>
  <si>
    <t>@ Canal</t>
  </si>
  <si>
    <t>Top slab thickness</t>
  </si>
  <si>
    <t>Pump house Height</t>
  </si>
  <si>
    <t>Pump house side wall</t>
  </si>
  <si>
    <t>Bottom slab</t>
  </si>
  <si>
    <t>Above bed level</t>
  </si>
  <si>
    <t>Below bed level</t>
  </si>
  <si>
    <t>Wall thickness</t>
  </si>
  <si>
    <t>VCC(1:2.5:5)</t>
  </si>
  <si>
    <t>Sand</t>
  </si>
  <si>
    <t>Raw water well cum Pump House</t>
  </si>
  <si>
    <t>: M 30</t>
  </si>
  <si>
    <t xml:space="preserve">         II.Reinforcement detailing shall be accordance with IS-SP 34</t>
  </si>
  <si>
    <t>Detailed cum abstract estimate</t>
  </si>
  <si>
    <t xml:space="preserve">     Name of work:Construction of the Intake well cum Pump House</t>
  </si>
  <si>
    <t>Est.cost Rs</t>
  </si>
  <si>
    <t>Lakhs</t>
  </si>
  <si>
    <t>Description</t>
  </si>
  <si>
    <t>0-3 Mts</t>
  </si>
  <si>
    <t>3-6 Mts</t>
  </si>
  <si>
    <t>4-6 Mts</t>
  </si>
  <si>
    <t>22/7 X 1/4</t>
  </si>
  <si>
    <t>6-8 Mts</t>
  </si>
  <si>
    <t>above 6m</t>
  </si>
  <si>
    <t>2)</t>
  </si>
  <si>
    <r>
      <t>VCC(1:2.5:5)</t>
    </r>
    <r>
      <rPr>
        <sz val="10"/>
        <rFont val="Tahoma"/>
        <family val="2"/>
      </rPr>
      <t xml:space="preserve"> using 40,20,10 mm HBG metal including cost and conveyance of all the materials etc complete for</t>
    </r>
    <r>
      <rPr>
        <b/>
        <sz val="10"/>
        <rFont val="Tahoma"/>
        <family val="2"/>
      </rPr>
      <t xml:space="preserve"> </t>
    </r>
  </si>
  <si>
    <r>
      <t>M30 grade concrete using 20 mm HBG metal including cost and conveyance of all the materials,but excluding the cost of the steel etc complete for</t>
    </r>
    <r>
      <rPr>
        <b/>
        <sz val="10"/>
        <rFont val="Tahoma"/>
        <family val="2"/>
      </rPr>
      <t xml:space="preserve"> Well Curb</t>
    </r>
  </si>
  <si>
    <r>
      <t>M30 grade concrete using 20 mm HBG metal including cost and conveyance of all the materials,but excluding the cost of the steel etc complete for</t>
    </r>
    <r>
      <rPr>
        <b/>
        <sz val="10"/>
        <rFont val="Tahoma"/>
        <family val="2"/>
      </rPr>
      <t xml:space="preserve"> Side Walls</t>
    </r>
  </si>
  <si>
    <t>Above BL</t>
  </si>
  <si>
    <t>below BL</t>
  </si>
  <si>
    <r>
      <t>M30 grade concrete using 20 mm HBG metal including cost and conveyance of all the materials,but excluding the cost of the steel etc complete for</t>
    </r>
    <r>
      <rPr>
        <b/>
        <sz val="10"/>
        <rFont val="Tahoma"/>
        <family val="2"/>
      </rPr>
      <t xml:space="preserve"> Pump House Side Walls</t>
    </r>
  </si>
  <si>
    <t>Deductions</t>
  </si>
  <si>
    <t>Door</t>
  </si>
  <si>
    <t>Windows</t>
  </si>
  <si>
    <r>
      <t>Accoproof plastering</t>
    </r>
    <r>
      <rPr>
        <sz val="10"/>
        <rFont val="Tahoma"/>
        <family val="2"/>
      </rPr>
      <t xml:space="preserve"> withCM(1:3) 20mm thick including cost and conveyance of all the materials ect complete.</t>
    </r>
  </si>
  <si>
    <t>Bottom Slab</t>
  </si>
  <si>
    <t>Top Slab P.House</t>
  </si>
  <si>
    <t>Side walls inside</t>
  </si>
  <si>
    <t>Side walls Outside</t>
  </si>
  <si>
    <r>
      <t>Snowcem painting</t>
    </r>
    <r>
      <rPr>
        <sz val="10"/>
        <rFont val="Tahoma"/>
        <family val="2"/>
      </rPr>
      <t xml:space="preserve"> including cost and conveyance of all the materials ect complete.</t>
    </r>
  </si>
  <si>
    <t>As Per above qty</t>
  </si>
  <si>
    <r>
      <t>Supply and placing of the</t>
    </r>
    <r>
      <rPr>
        <b/>
        <sz val="10"/>
        <rFont val="Tahoma"/>
        <family val="2"/>
      </rPr>
      <t xml:space="preserve"> MS Door&amp; WIndows</t>
    </r>
    <r>
      <rPr>
        <sz val="10"/>
        <rFont val="Tahoma"/>
        <family val="2"/>
      </rPr>
      <t xml:space="preserve"> including cost and conveyance of the materials etc complete.</t>
    </r>
  </si>
  <si>
    <t>1 No</t>
  </si>
  <si>
    <r>
      <t>Supply and placing of the</t>
    </r>
    <r>
      <rPr>
        <b/>
        <sz val="10"/>
        <rFont val="Tahoma"/>
        <family val="2"/>
      </rPr>
      <t xml:space="preserve"> CI D/F Pipes and specials for inlet including </t>
    </r>
    <r>
      <rPr>
        <sz val="10"/>
        <rFont val="Tahoma"/>
        <family val="2"/>
      </rPr>
      <t>cost and conveyance of the materials etc complete.</t>
    </r>
  </si>
  <si>
    <r>
      <t>Synthatic Enamil paint</t>
    </r>
    <r>
      <rPr>
        <sz val="10"/>
        <rFont val="Tahoma"/>
        <family val="2"/>
      </rPr>
      <t xml:space="preserve"> including cost and conveyance of all the materials ect complete.</t>
    </r>
  </si>
  <si>
    <t>Unforcien items</t>
  </si>
  <si>
    <t>@SSTank</t>
  </si>
  <si>
    <t>Bottom slab thick</t>
  </si>
  <si>
    <t>T.B.L        =</t>
  </si>
  <si>
    <t xml:space="preserve">     Name of work:Construction of the Collection well cum Pump House</t>
  </si>
  <si>
    <t>0-2 Mts</t>
  </si>
  <si>
    <t>2-4 Mts</t>
  </si>
  <si>
    <t>Electrification, balcony to intake well</t>
  </si>
  <si>
    <t>Pump House of size</t>
  </si>
  <si>
    <t>mts</t>
  </si>
  <si>
    <t xml:space="preserve">          Top slab thickness</t>
  </si>
  <si>
    <t>Add</t>
  </si>
  <si>
    <t xml:space="preserve">              Top beam depth</t>
  </si>
  <si>
    <t xml:space="preserve">             Top beam breadth</t>
  </si>
  <si>
    <t xml:space="preserve">                No of coulmns</t>
  </si>
  <si>
    <t>No.of columns</t>
  </si>
  <si>
    <t xml:space="preserve">               Column breadth</t>
  </si>
  <si>
    <t>3x4</t>
  </si>
  <si>
    <t xml:space="preserve">               Column depth</t>
  </si>
  <si>
    <t>4x6</t>
  </si>
  <si>
    <t>windows</t>
  </si>
  <si>
    <t>6x8</t>
  </si>
  <si>
    <t>Pump house of size</t>
  </si>
  <si>
    <t>Mts at Village</t>
  </si>
  <si>
    <t>: M 15</t>
  </si>
  <si>
    <t>Detailed cum abstract Estimate</t>
  </si>
  <si>
    <t>Name of the work: Construction of the Pump house  of size</t>
  </si>
  <si>
    <t xml:space="preserve">          Dimensions</t>
  </si>
  <si>
    <t>Sl No.</t>
  </si>
  <si>
    <t>No.</t>
  </si>
  <si>
    <t>L</t>
  </si>
  <si>
    <t>B</t>
  </si>
  <si>
    <t>D</t>
  </si>
  <si>
    <t>Drilling of 250 mm diameter Double Under Reamed piles for depth of 3.50 mt with RCC (1:1.5:3) using 20 mm HBG metal using required quantity of steel per 1 cum of concrete including cost and conveyance of all materials and all labour charges  etc complete including all incidental charges such as hire charges of drilling equipment and all labour charges etc comlete as per standard specification</t>
  </si>
  <si>
    <t>1X1</t>
  </si>
  <si>
    <t>Earthwork in excavation for structures as per drawing and technical specifications Clause 305.1 including setting out, construction of shoring and bracing, removal of stumps and other deleterious material and disposal upto a lead of 50 m, dressing of sides and bottom and backfilling in trenches with excavated suitable material as per Technical Specification 305 MORD / 304 MORTH</t>
  </si>
  <si>
    <t xml:space="preserve">  All round</t>
  </si>
  <si>
    <t xml:space="preserve"> Ext-columns</t>
  </si>
  <si>
    <t xml:space="preserve"> Steps</t>
  </si>
  <si>
    <t xml:space="preserve"> Deduction </t>
  </si>
  <si>
    <t xml:space="preserve"> c-footings</t>
  </si>
  <si>
    <t xml:space="preserve"> All round</t>
  </si>
  <si>
    <t xml:space="preserve"> Deductions</t>
  </si>
  <si>
    <t xml:space="preserve"> footings</t>
  </si>
  <si>
    <r>
      <t>VRCC(1:1.5:3) using 20 mm HBG metal including cost and conveyance of all the materials,but excluding the cost of the steel etc complete for</t>
    </r>
    <r>
      <rPr>
        <b/>
        <sz val="10"/>
        <rFont val="Tahoma"/>
        <family val="2"/>
      </rPr>
      <t xml:space="preserve"> Columns footing</t>
    </r>
  </si>
  <si>
    <t xml:space="preserve"> C-Raft</t>
  </si>
  <si>
    <r>
      <t>VRCC(1:1.5:3) using 20 mm HBG metal including cost and conveyance of all the materials,but excluding the cost of the steel etc complete for</t>
    </r>
    <r>
      <rPr>
        <b/>
        <sz val="10"/>
        <rFont val="Tahoma"/>
        <family val="2"/>
      </rPr>
      <t xml:space="preserve"> Columns </t>
    </r>
  </si>
  <si>
    <r>
      <t>VRCC(1:1.5:3) using 20 mm HBG metal including cost and conveyance of all the materials,but excluding the cost of the steel etc complete for</t>
    </r>
    <r>
      <rPr>
        <b/>
        <sz val="10"/>
        <rFont val="Tahoma"/>
        <family val="2"/>
      </rPr>
      <t xml:space="preserve"> Beams</t>
    </r>
  </si>
  <si>
    <t xml:space="preserve"> Short beams</t>
  </si>
  <si>
    <t xml:space="preserve"> Long beams</t>
  </si>
  <si>
    <t xml:space="preserve">Brick Msaonary with CM(1:6) using Second Class Bricks including cost and conveyance of all the materials  etc complete </t>
  </si>
  <si>
    <t xml:space="preserve"> 1st footing</t>
  </si>
  <si>
    <t xml:space="preserve"> 2nd footings</t>
  </si>
  <si>
    <r>
      <t>Steps 1</t>
    </r>
    <r>
      <rPr>
        <vertAlign val="superscript"/>
        <sz val="10"/>
        <rFont val="Tahoma"/>
        <family val="2"/>
      </rPr>
      <t>st</t>
    </r>
  </si>
  <si>
    <r>
      <t>Step 2</t>
    </r>
    <r>
      <rPr>
        <vertAlign val="superscript"/>
        <sz val="10"/>
        <rFont val="Tahoma"/>
        <family val="2"/>
      </rPr>
      <t>nd</t>
    </r>
  </si>
  <si>
    <r>
      <t>VCC(1:1.5:3) using 20 mm HBG metal including cost and conveyance of all the materials etc complete for</t>
    </r>
    <r>
      <rPr>
        <b/>
        <sz val="10"/>
        <rFont val="Tahoma"/>
        <family val="2"/>
      </rPr>
      <t xml:space="preserve"> Bed Blocks</t>
    </r>
  </si>
  <si>
    <t xml:space="preserve"> Over door</t>
  </si>
  <si>
    <t xml:space="preserve"> Over windows</t>
  </si>
  <si>
    <r>
      <t>VRCC(1:1.5:3) using 20 mm HBG metal including cost and conveyance of all the materials,but excluding the cost of the steel etc complete for</t>
    </r>
    <r>
      <rPr>
        <b/>
        <sz val="10"/>
        <rFont val="Tahoma"/>
        <family val="2"/>
      </rPr>
      <t xml:space="preserve"> Lintel Beams</t>
    </r>
  </si>
  <si>
    <r>
      <t xml:space="preserve">VRCC(1:1.5:3) using 20 mm HBG metal for </t>
    </r>
    <r>
      <rPr>
        <b/>
        <sz val="10"/>
        <rFont val="Tahoma"/>
        <family val="2"/>
      </rPr>
      <t>Sun Shades</t>
    </r>
    <r>
      <rPr>
        <sz val="10"/>
        <rFont val="Tahoma"/>
        <family val="2"/>
      </rPr>
      <t xml:space="preserve"> of Size 75 mm thick at one end 50mm other end and 600mm width ,including cost and conveyance of all the materials,but excluding the cost of the steel etc complete</t>
    </r>
  </si>
  <si>
    <t xml:space="preserve">  Over door</t>
  </si>
  <si>
    <t xml:space="preserve">  Over windows</t>
  </si>
  <si>
    <t>All round</t>
  </si>
  <si>
    <t>Doors</t>
  </si>
  <si>
    <t xml:space="preserve"> Bed blocks</t>
  </si>
  <si>
    <t xml:space="preserve"> Lintels</t>
  </si>
  <si>
    <t xml:space="preserve"> Ventilators</t>
  </si>
  <si>
    <t xml:space="preserve">Flush Pointing with CM(1:3)  including cost and conveyance of all the materials  etc complete </t>
  </si>
  <si>
    <t>Allround Basement</t>
  </si>
  <si>
    <r>
      <t>Cement plastering</t>
    </r>
    <r>
      <rPr>
        <sz val="10"/>
        <rFont val="Tahoma"/>
        <family val="2"/>
      </rPr>
      <t xml:space="preserve"> with CM(1:5),12mm thick including cost and conveyance of all the materials ect complete.</t>
    </r>
  </si>
  <si>
    <t>Out side all round</t>
  </si>
  <si>
    <t>In side all round</t>
  </si>
  <si>
    <t>Ceiling</t>
  </si>
  <si>
    <t>Ventilators</t>
  </si>
  <si>
    <r>
      <t>Accoproof plastering</t>
    </r>
    <r>
      <rPr>
        <sz val="10"/>
        <rFont val="Tahoma"/>
        <family val="2"/>
      </rPr>
      <t xml:space="preserve"> with CM(1:5),12mm thick including cost and conveyance of all the materials ect complete.</t>
    </r>
  </si>
  <si>
    <r>
      <t xml:space="preserve">Flooring with CC(1:4:8) </t>
    </r>
    <r>
      <rPr>
        <sz val="10"/>
        <rFont val="Tahoma"/>
        <family val="2"/>
      </rPr>
      <t>using 40mm HBG metal for 100mm thick  and Top plastering with CM(1:3) ,20mm thick including cost and conveyance of all the materials ect complete.</t>
    </r>
  </si>
  <si>
    <t>Synthatic Enamel painting over primary coat and Enamel painting in two caots including csot and conveyance of all the materials ect complete</t>
  </si>
  <si>
    <t xml:space="preserve">  2.25</t>
  </si>
  <si>
    <t xml:space="preserve">  2.75</t>
  </si>
  <si>
    <r>
      <t>Painting With White Cement</t>
    </r>
    <r>
      <rPr>
        <sz val="10"/>
        <rFont val="Tahoma"/>
        <family val="2"/>
      </rPr>
      <t xml:space="preserve"> two coats including cost and conveyance of all the materials ect complete.</t>
    </r>
  </si>
  <si>
    <t>Inside and Ceiling</t>
  </si>
  <si>
    <t>Out Side</t>
  </si>
  <si>
    <t>Supply and fixing of the Sal Wood Door of Size 1.05 X 2.00m With angular frame CR Sheet including fixtures , fasteners including csot and conveyance of the all the materials , labour charges ect complete.</t>
  </si>
  <si>
    <t>Supply and fixing of the Sal Wood Windows of Size 0.9 X 1.20m With angular frame CR Sheet including fixtures , fasteners including csot and conveyance of the all the materials , labour charges ect complete.</t>
  </si>
  <si>
    <t>Supply and fixing of the Ready made Ventilaters of Size 0.9x0.23including csot and conveyance of the all the materials , labour charges ect complete.</t>
  </si>
  <si>
    <t>Unforcein items</t>
  </si>
  <si>
    <t>Unforcen Items</t>
  </si>
  <si>
    <t xml:space="preserve"> Name of the work:   spiral stair case  with Staging</t>
  </si>
  <si>
    <t xml:space="preserve">S.no </t>
  </si>
  <si>
    <t>Per</t>
  </si>
  <si>
    <t>1)</t>
  </si>
  <si>
    <t>Earth work excavation in all type of soils</t>
  </si>
  <si>
    <t xml:space="preserve">with intial lead and lift etc., complete </t>
  </si>
  <si>
    <r>
      <t>1x</t>
    </r>
    <r>
      <rPr>
        <sz val="14"/>
        <rFont val="Comic Sans MS"/>
        <family val="4"/>
      </rPr>
      <t>1</t>
    </r>
  </si>
  <si>
    <t>1 Cum</t>
  </si>
  <si>
    <t>CC(1:4:8) using 40 mm HBG metal icluding all</t>
  </si>
  <si>
    <t xml:space="preserve">materials etc., complete </t>
  </si>
  <si>
    <t>3)</t>
  </si>
  <si>
    <t>VRCC(1:1.5:3)  using 20 mm HBG metal</t>
  </si>
  <si>
    <t>including cost,conveyance and labour etc</t>
  </si>
  <si>
    <r>
      <t xml:space="preserve">complete for </t>
    </r>
    <r>
      <rPr>
        <b/>
        <sz val="10"/>
        <rFont val="Comic Sans MS"/>
        <family val="4"/>
      </rPr>
      <t xml:space="preserve">Footing </t>
    </r>
    <r>
      <rPr>
        <sz val="10"/>
        <rFont val="Comic Sans MS"/>
        <family val="4"/>
      </rPr>
      <t>excluding cost of steel</t>
    </r>
  </si>
  <si>
    <t>=0.25/3*(1.5^2+0.6^2+((1.5+0.6)/2)^2)</t>
  </si>
  <si>
    <t>5)</t>
  </si>
  <si>
    <t>M30 grade concrete using 20 mm HBG</t>
  </si>
  <si>
    <t>metal including cost,conveyance</t>
  </si>
  <si>
    <r>
      <t xml:space="preserve">and labour etc., complete </t>
    </r>
    <r>
      <rPr>
        <b/>
        <sz val="10"/>
        <rFont val="Comic Sans MS"/>
        <family val="4"/>
      </rPr>
      <t xml:space="preserve">for coulmns </t>
    </r>
  </si>
  <si>
    <t xml:space="preserve">excluding cost of steel     </t>
  </si>
  <si>
    <t>Below G.L</t>
  </si>
  <si>
    <t>0 - 3 Mts</t>
  </si>
  <si>
    <r>
      <t>1x</t>
    </r>
    <r>
      <rPr>
        <sz val="14"/>
        <rFont val="Comic Sans MS"/>
        <family val="4"/>
      </rPr>
      <t>π/4</t>
    </r>
  </si>
  <si>
    <t>3 - 4 Mts</t>
  </si>
  <si>
    <t>4 - 5 Mts</t>
  </si>
  <si>
    <t>5 - 6 Mts</t>
  </si>
  <si>
    <t>6-7 Mts</t>
  </si>
  <si>
    <t>7-8 Mts</t>
  </si>
  <si>
    <t>8-9 Mts</t>
  </si>
  <si>
    <t>9-10 Mts</t>
  </si>
  <si>
    <t>10-11 Mts</t>
  </si>
  <si>
    <t>11-12 Mts</t>
  </si>
  <si>
    <t>12-13mts</t>
  </si>
  <si>
    <t>13-14mts</t>
  </si>
  <si>
    <t>14-15mts</t>
  </si>
  <si>
    <t>15-16mts</t>
  </si>
  <si>
    <t>16-17mts</t>
  </si>
  <si>
    <t>17-18mts</t>
  </si>
  <si>
    <t>18-19mts</t>
  </si>
  <si>
    <t>19-20mts</t>
  </si>
  <si>
    <t>20-21mts</t>
  </si>
  <si>
    <t>21-22mts</t>
  </si>
  <si>
    <t>22-23mts</t>
  </si>
  <si>
    <t>23-24mts</t>
  </si>
  <si>
    <t>24-25mts</t>
  </si>
  <si>
    <t>25-26mts</t>
  </si>
  <si>
    <t>26-27mts</t>
  </si>
  <si>
    <t>27-28mts</t>
  </si>
  <si>
    <t>28-29mts</t>
  </si>
  <si>
    <t>29-30mts</t>
  </si>
  <si>
    <t>30 -31mts</t>
  </si>
  <si>
    <t>31 - 32mts</t>
  </si>
  <si>
    <t>32 -33mts</t>
  </si>
  <si>
    <t>6)</t>
  </si>
  <si>
    <t>M 30 grade concrete  using 20 mm HBG metal including cost,conveyance</t>
  </si>
  <si>
    <r>
      <t xml:space="preserve">and labour etc., complete </t>
    </r>
    <r>
      <rPr>
        <b/>
        <sz val="10"/>
        <rFont val="Comic Sans MS"/>
        <family val="4"/>
      </rPr>
      <t>for tie braces</t>
    </r>
  </si>
  <si>
    <r>
      <t xml:space="preserve">excluding cost of steel      </t>
    </r>
    <r>
      <rPr>
        <b/>
        <sz val="10"/>
        <rFont val="Comic Sans MS"/>
        <family val="4"/>
      </rPr>
      <t>0 - 5 Mts</t>
    </r>
  </si>
  <si>
    <t>5- 8 Mts</t>
  </si>
  <si>
    <t>8- 11 Mts</t>
  </si>
  <si>
    <t>11- 14 Mts</t>
  </si>
  <si>
    <t>14- 17 mts</t>
  </si>
  <si>
    <t>17- 20 Mts</t>
  </si>
  <si>
    <t>20-23 Mts</t>
  </si>
  <si>
    <t>23-26</t>
  </si>
  <si>
    <t>26-29</t>
  </si>
  <si>
    <t>29-32</t>
  </si>
  <si>
    <t>7)</t>
  </si>
  <si>
    <t>M30 grade concrete  using 20 mm HBG</t>
  </si>
  <si>
    <r>
      <t xml:space="preserve">and labour etc., complete </t>
    </r>
    <r>
      <rPr>
        <b/>
        <sz val="10"/>
        <rFont val="Comic Sans MS"/>
        <family val="4"/>
      </rPr>
      <t>for Treads</t>
    </r>
  </si>
  <si>
    <t>23- 26 Mts</t>
  </si>
  <si>
    <t>26-29 Mts</t>
  </si>
  <si>
    <t>29- 32 Mts</t>
  </si>
  <si>
    <t>32-32.40 mts</t>
  </si>
  <si>
    <t>8)</t>
  </si>
  <si>
    <t>M 30 grade concrete  using 20 mm HBG</t>
  </si>
  <si>
    <r>
      <t xml:space="preserve">and labour etc., complete </t>
    </r>
    <r>
      <rPr>
        <b/>
        <sz val="10"/>
        <rFont val="Comic Sans MS"/>
        <family val="4"/>
      </rPr>
      <t>for Risers</t>
    </r>
  </si>
  <si>
    <t>29-32 Mts</t>
  </si>
  <si>
    <t>32-32.4 Mts</t>
  </si>
  <si>
    <t>9)</t>
  </si>
  <si>
    <t xml:space="preserve">M 30 grade concrete  using 20 mm HBG metal </t>
  </si>
  <si>
    <t>including cost,conveyance and labour etc.complete</t>
  </si>
  <si>
    <r>
      <t xml:space="preserve"> for    </t>
    </r>
    <r>
      <rPr>
        <b/>
        <sz val="9"/>
        <rFont val="Comic Sans MS"/>
        <family val="4"/>
      </rPr>
      <t>top  slab</t>
    </r>
  </si>
  <si>
    <t>excluding cost steel</t>
  </si>
  <si>
    <t>steel</t>
  </si>
  <si>
    <t>1x1</t>
  </si>
  <si>
    <t>10)</t>
  </si>
  <si>
    <t>Add cost of reiforcing steel</t>
  </si>
  <si>
    <t>MT</t>
  </si>
  <si>
    <t>11)</t>
  </si>
  <si>
    <t xml:space="preserve">Cement plastering with CM(1:3)  12 mm thick </t>
  </si>
  <si>
    <t xml:space="preserve">etc., complete </t>
  </si>
  <si>
    <t>For treads of steps</t>
  </si>
  <si>
    <t>2x221</t>
  </si>
  <si>
    <t>For risers of steps</t>
  </si>
  <si>
    <t>At landing on top</t>
  </si>
  <si>
    <t>1x2</t>
  </si>
  <si>
    <t>Tie Braces</t>
  </si>
  <si>
    <t>1x11</t>
  </si>
  <si>
    <t>For column</t>
  </si>
  <si>
    <r>
      <t>1x</t>
    </r>
    <r>
      <rPr>
        <sz val="14"/>
        <rFont val="Comic Sans MS"/>
        <family val="4"/>
      </rPr>
      <t>π</t>
    </r>
  </si>
  <si>
    <t>Toatl</t>
  </si>
  <si>
    <t>10 Sqm</t>
  </si>
  <si>
    <t>12)</t>
  </si>
  <si>
    <t>Snowcem paint including all materials etc., complete</t>
  </si>
  <si>
    <t>as per above iteam</t>
  </si>
  <si>
    <t>13)</t>
  </si>
  <si>
    <t>Hand railing on top slab and sides of bottom slab</t>
  </si>
  <si>
    <t>1 RMT</t>
  </si>
  <si>
    <t>Unforcen item</t>
  </si>
  <si>
    <t xml:space="preserve"> Name of the Sub work : Construction of Watch man and Operator Quarter </t>
  </si>
  <si>
    <t>lakhs</t>
  </si>
  <si>
    <t>Sl.No</t>
  </si>
  <si>
    <t>Dimensions</t>
  </si>
  <si>
    <t>Qty</t>
  </si>
  <si>
    <t>Nos</t>
  </si>
  <si>
    <t>column footings</t>
  </si>
  <si>
    <t>alround</t>
  </si>
  <si>
    <t>long wall</t>
  </si>
  <si>
    <t>cross walls</t>
  </si>
  <si>
    <t>platform</t>
  </si>
  <si>
    <t>deduction</t>
  </si>
  <si>
    <t xml:space="preserve">RR Masonary with CM(1:6) using rough stone (HBG) including cost and conveyance of all the materials  etc complete </t>
  </si>
  <si>
    <t>first footing</t>
  </si>
  <si>
    <t>second footing</t>
  </si>
  <si>
    <t>third footing</t>
  </si>
  <si>
    <t>long wall first footing</t>
  </si>
  <si>
    <t>long wall second footing</t>
  </si>
  <si>
    <t>long wall third footing</t>
  </si>
  <si>
    <t>cross walls first footing</t>
  </si>
  <si>
    <t>cross walls second footing</t>
  </si>
  <si>
    <t>cross walls third footing</t>
  </si>
  <si>
    <r>
      <t xml:space="preserve">Door </t>
    </r>
    <r>
      <rPr>
        <vertAlign val="subscript"/>
        <sz val="9"/>
        <rFont val="Arial"/>
        <family val="2"/>
      </rPr>
      <t>1</t>
    </r>
  </si>
  <si>
    <r>
      <t xml:space="preserve">Door </t>
    </r>
    <r>
      <rPr>
        <vertAlign val="subscript"/>
        <sz val="9"/>
        <rFont val="Arial"/>
        <family val="2"/>
      </rPr>
      <t>2</t>
    </r>
    <r>
      <rPr>
        <b/>
        <sz val="10"/>
        <rFont val="Arial"/>
        <family val="2"/>
      </rPr>
      <t/>
    </r>
  </si>
  <si>
    <r>
      <t xml:space="preserve">Door </t>
    </r>
    <r>
      <rPr>
        <vertAlign val="subscript"/>
        <sz val="9"/>
        <rFont val="Arial"/>
        <family val="2"/>
      </rPr>
      <t>3</t>
    </r>
    <r>
      <rPr>
        <b/>
        <sz val="10"/>
        <rFont val="Arial"/>
        <family val="2"/>
      </rPr>
      <t/>
    </r>
  </si>
  <si>
    <r>
      <t xml:space="preserve">Window </t>
    </r>
    <r>
      <rPr>
        <vertAlign val="subscript"/>
        <sz val="9"/>
        <rFont val="Arial"/>
        <family val="2"/>
      </rPr>
      <t>1</t>
    </r>
  </si>
  <si>
    <r>
      <t xml:space="preserve">Window </t>
    </r>
    <r>
      <rPr>
        <vertAlign val="subscript"/>
        <sz val="9"/>
        <rFont val="Arial"/>
        <family val="2"/>
      </rPr>
      <t>2</t>
    </r>
    <r>
      <rPr>
        <b/>
        <sz val="10"/>
        <rFont val="Arial"/>
        <family val="2"/>
      </rPr>
      <t/>
    </r>
  </si>
  <si>
    <t>ventilator</t>
  </si>
  <si>
    <r>
      <t>VRCC(1:1.5:3) using 20 mm HBG metal including cost and conveyance of all the materials,but excluding the cost of the steel etc complete for</t>
    </r>
    <r>
      <rPr>
        <b/>
        <sz val="10"/>
        <rFont val="Tahoma"/>
        <family val="2"/>
      </rPr>
      <t xml:space="preserve"> Columns</t>
    </r>
  </si>
  <si>
    <t>Columns</t>
  </si>
  <si>
    <t>Beams(F)</t>
  </si>
  <si>
    <t>Beams(R)</t>
  </si>
  <si>
    <r>
      <t xml:space="preserve">Door </t>
    </r>
    <r>
      <rPr>
        <vertAlign val="subscript"/>
        <sz val="10"/>
        <rFont val="Arial"/>
        <family val="2"/>
      </rPr>
      <t>1</t>
    </r>
  </si>
  <si>
    <r>
      <t xml:space="preserve">Window </t>
    </r>
    <r>
      <rPr>
        <vertAlign val="subscript"/>
        <sz val="10"/>
        <rFont val="Arial"/>
        <family val="2"/>
      </rPr>
      <t>1</t>
    </r>
  </si>
  <si>
    <r>
      <t xml:space="preserve">Window </t>
    </r>
    <r>
      <rPr>
        <vertAlign val="subscript"/>
        <sz val="10"/>
        <rFont val="Arial"/>
        <family val="2"/>
      </rPr>
      <t>2</t>
    </r>
    <r>
      <rPr>
        <b/>
        <sz val="10"/>
        <rFont val="Arial"/>
        <family val="2"/>
      </rPr>
      <t/>
    </r>
  </si>
  <si>
    <t>out side</t>
  </si>
  <si>
    <t>inside</t>
  </si>
  <si>
    <r>
      <t xml:space="preserve">Door </t>
    </r>
    <r>
      <rPr>
        <vertAlign val="subscript"/>
        <sz val="10"/>
        <rFont val="Arial"/>
        <family val="2"/>
      </rPr>
      <t>2</t>
    </r>
    <r>
      <rPr>
        <b/>
        <sz val="10"/>
        <rFont val="Arial"/>
        <family val="2"/>
      </rPr>
      <t/>
    </r>
  </si>
  <si>
    <r>
      <t xml:space="preserve">Door </t>
    </r>
    <r>
      <rPr>
        <vertAlign val="subscript"/>
        <sz val="10"/>
        <rFont val="Arial"/>
        <family val="2"/>
      </rPr>
      <t>3</t>
    </r>
    <r>
      <rPr>
        <b/>
        <sz val="10"/>
        <rFont val="Arial"/>
        <family val="2"/>
      </rPr>
      <t/>
    </r>
  </si>
  <si>
    <t>out side Coulmns</t>
  </si>
  <si>
    <t>Supply and fixing of the Sal Wood Door With angular frame CR Sheet including fixtures , fasteners including csot and conveyance of the all the materials , labour charges ect complete.</t>
  </si>
  <si>
    <r>
      <t xml:space="preserve">Door </t>
    </r>
    <r>
      <rPr>
        <vertAlign val="subscript"/>
        <sz val="10"/>
        <rFont val="Arial"/>
        <family val="2"/>
      </rPr>
      <t xml:space="preserve">1   </t>
    </r>
    <r>
      <rPr>
        <sz val="10"/>
        <rFont val="Arial"/>
        <family val="2"/>
      </rPr>
      <t>of 2.00 x 1.05 mts</t>
    </r>
  </si>
  <si>
    <r>
      <t xml:space="preserve">Door </t>
    </r>
    <r>
      <rPr>
        <vertAlign val="subscript"/>
        <sz val="10"/>
        <rFont val="Arial"/>
        <family val="2"/>
      </rPr>
      <t xml:space="preserve">2  </t>
    </r>
    <r>
      <rPr>
        <sz val="10"/>
        <rFont val="Arial"/>
        <family val="2"/>
      </rPr>
      <t>of  2.00 x 0.90 mts</t>
    </r>
  </si>
  <si>
    <r>
      <t xml:space="preserve">Door </t>
    </r>
    <r>
      <rPr>
        <vertAlign val="subscript"/>
        <sz val="10"/>
        <rFont val="Arial"/>
        <family val="2"/>
      </rPr>
      <t xml:space="preserve">3  </t>
    </r>
    <r>
      <rPr>
        <sz val="10"/>
        <rFont val="Arial"/>
        <family val="2"/>
      </rPr>
      <t>of 2.00 x 0.75 mts</t>
    </r>
  </si>
  <si>
    <r>
      <t xml:space="preserve"> Window </t>
    </r>
    <r>
      <rPr>
        <vertAlign val="subscript"/>
        <sz val="10"/>
        <rFont val="Arial"/>
        <family val="2"/>
      </rPr>
      <t>1</t>
    </r>
    <r>
      <rPr>
        <sz val="10"/>
        <rFont val="Arial"/>
        <family val="2"/>
      </rPr>
      <t xml:space="preserve">  of size 1.20 X 1.20 mts</t>
    </r>
  </si>
  <si>
    <r>
      <t xml:space="preserve"> Window </t>
    </r>
    <r>
      <rPr>
        <vertAlign val="subscript"/>
        <sz val="10"/>
        <rFont val="Arial"/>
        <family val="2"/>
      </rPr>
      <t>2</t>
    </r>
    <r>
      <rPr>
        <sz val="10"/>
        <rFont val="Arial"/>
        <family val="2"/>
      </rPr>
      <t xml:space="preserve">  of size 0.90 X 1.20 mts</t>
    </r>
  </si>
  <si>
    <t>Hall</t>
  </si>
  <si>
    <t xml:space="preserve">bed room </t>
  </si>
  <si>
    <t>Kitchen</t>
  </si>
  <si>
    <t>Toilets</t>
  </si>
  <si>
    <t>Platform</t>
  </si>
  <si>
    <t>Inside &amp; out side A/R</t>
  </si>
  <si>
    <t>Roof slab</t>
  </si>
  <si>
    <t>In side alround</t>
  </si>
  <si>
    <t>Outside</t>
  </si>
  <si>
    <t>Unforeseen items</t>
  </si>
  <si>
    <t>GLSR dia</t>
  </si>
  <si>
    <t>Free board</t>
  </si>
  <si>
    <t>G.L</t>
  </si>
  <si>
    <t>Dead storage</t>
  </si>
  <si>
    <t>Bottom slab thicknes</t>
  </si>
  <si>
    <t xml:space="preserve">G.L.S.R </t>
  </si>
  <si>
    <t>GLBR live capacity</t>
  </si>
  <si>
    <t>GLBR Total capacity</t>
  </si>
  <si>
    <t>: M30</t>
  </si>
  <si>
    <t xml:space="preserve">        Name of the Sub work: Construction of Sump of </t>
  </si>
  <si>
    <r>
      <t>M30 Grade concrete using 20 mm HBG metal including cost and conveyance of all the materials,but excluding the cost of the steel etc complete for</t>
    </r>
    <r>
      <rPr>
        <b/>
        <sz val="10"/>
        <rFont val="Tahoma"/>
        <family val="2"/>
      </rPr>
      <t xml:space="preserve"> bottom raft</t>
    </r>
  </si>
  <si>
    <r>
      <t>M30 grade concrete using 20 mm HBG metal including cost and conveyance of all the materials,but excluding the cost of the steel etc complete for</t>
    </r>
    <r>
      <rPr>
        <b/>
        <sz val="10"/>
        <rFont val="Tahoma"/>
        <family val="2"/>
      </rPr>
      <t xml:space="preserve"> Side walls</t>
    </r>
  </si>
  <si>
    <r>
      <t>Accoproof plastering</t>
    </r>
    <r>
      <rPr>
        <sz val="10"/>
        <rFont val="Tahoma"/>
        <family val="2"/>
      </rPr>
      <t xml:space="preserve"> with CM(1:3),12mm thick including cost and conveyance of all the materials ect complete.</t>
    </r>
  </si>
  <si>
    <t>B-Slab</t>
  </si>
  <si>
    <t>Inside walls</t>
  </si>
  <si>
    <t>Top Slab</t>
  </si>
  <si>
    <t>Man hole covers</t>
  </si>
  <si>
    <t>LS</t>
  </si>
  <si>
    <t>CI connections</t>
  </si>
  <si>
    <t>Unforceen items</t>
  </si>
  <si>
    <t>Hillock Vertical height</t>
  </si>
  <si>
    <t>Top dome thickness</t>
  </si>
  <si>
    <t>Top ring beam size</t>
  </si>
  <si>
    <t>R</t>
  </si>
  <si>
    <t>@ Village</t>
  </si>
  <si>
    <t xml:space="preserve">      Name of the work:Construction of the GLSR </t>
  </si>
  <si>
    <r>
      <t>M30 grade concrete using 20 mm HBG metal including cost and conveyance of all the materials,but excluding the cost of the steel etc complete for</t>
    </r>
    <r>
      <rPr>
        <b/>
        <sz val="10"/>
        <rFont val="Tahoma"/>
        <family val="2"/>
      </rPr>
      <t xml:space="preserve"> bottom raft</t>
    </r>
  </si>
  <si>
    <r>
      <t>M30 grade concrete using 20 mm HBG metal including cost and conveyance of all the materials,but excluding the cost of the steel etc complete for</t>
    </r>
    <r>
      <rPr>
        <b/>
        <sz val="10"/>
        <rFont val="Tahoma"/>
        <family val="2"/>
      </rPr>
      <t xml:space="preserve"> Top Doome</t>
    </r>
  </si>
  <si>
    <r>
      <t>2x</t>
    </r>
    <r>
      <rPr>
        <sz val="10"/>
        <rFont val="Symbol"/>
        <family val="1"/>
        <charset val="2"/>
      </rPr>
      <t>p</t>
    </r>
  </si>
  <si>
    <r>
      <t>M30 grade concrete using 20 mm HBG metal including cost and conveyance of all the materials,but excluding the cost of the steel etc complete for</t>
    </r>
    <r>
      <rPr>
        <b/>
        <sz val="10"/>
        <rFont val="Tahoma"/>
        <family val="2"/>
      </rPr>
      <t xml:space="preserve"> Ring Beam</t>
    </r>
  </si>
  <si>
    <t xml:space="preserve">Dome  </t>
  </si>
  <si>
    <t>Ring Beam</t>
  </si>
  <si>
    <t>Top Doome</t>
  </si>
  <si>
    <t>Tank capacity req  =</t>
  </si>
  <si>
    <t>Below tank capacity =</t>
  </si>
  <si>
    <t>Mts</t>
  </si>
  <si>
    <t xml:space="preserve">   T.B.L</t>
  </si>
  <si>
    <t xml:space="preserve">    ----</t>
  </si>
  <si>
    <t xml:space="preserve">    F.B:</t>
  </si>
  <si>
    <t xml:space="preserve">   |</t>
  </si>
  <si>
    <t xml:space="preserve">:1U.S </t>
  </si>
  <si>
    <t xml:space="preserve">   | </t>
  </si>
  <si>
    <t xml:space="preserve">:1 D.S </t>
  </si>
  <si>
    <t xml:space="preserve">   |D.St:</t>
  </si>
  <si>
    <t>D.storage</t>
  </si>
  <si>
    <t>Centrel cutting depth=</t>
  </si>
  <si>
    <t>Tank dimensions      =</t>
  </si>
  <si>
    <t>Mts     :</t>
  </si>
  <si>
    <t>Storage capacity in Cent</t>
  </si>
  <si>
    <t>E.W from centrel portion=</t>
  </si>
  <si>
    <t>Portion</t>
  </si>
  <si>
    <t>Water storage in the tank =</t>
  </si>
  <si>
    <t>E.W for Bund formation =</t>
  </si>
  <si>
    <t>Total      storage           =</t>
  </si>
  <si>
    <t>Dead storage               =</t>
  </si>
  <si>
    <t>Storage for  prospective =</t>
  </si>
  <si>
    <t>Live storage                 =</t>
  </si>
  <si>
    <t>Bund height                  =</t>
  </si>
  <si>
    <t>Estimate details:</t>
  </si>
  <si>
    <t>Dimensions:Center line</t>
  </si>
  <si>
    <t>Key trench earth work  :</t>
  </si>
  <si>
    <t>Sand blanket           :</t>
  </si>
  <si>
    <t>Earth work for bund    :</t>
  </si>
  <si>
    <t>formation</t>
  </si>
  <si>
    <t xml:space="preserve">Earth work for ceteral : </t>
  </si>
  <si>
    <t>Revetment for D/S      :</t>
  </si>
  <si>
    <t xml:space="preserve">Rock toe               : </t>
  </si>
  <si>
    <t>0.60 X 0.60</t>
  </si>
  <si>
    <t>Top bund consolidation :</t>
  </si>
  <si>
    <t>U/S rock toe           :</t>
  </si>
  <si>
    <t>Toe drain earth work   :</t>
  </si>
  <si>
    <t>Toe drain rough stone  :</t>
  </si>
  <si>
    <t>Graded metal           :</t>
  </si>
  <si>
    <t>0.90 X 0.30</t>
  </si>
  <si>
    <t>E.W cosolidation extra :</t>
  </si>
  <si>
    <t>07.0 X 1.20</t>
  </si>
  <si>
    <t>for rock toe U/S</t>
  </si>
  <si>
    <t>S.no.</t>
  </si>
  <si>
    <t>Dimensions/C.line</t>
  </si>
  <si>
    <t>1000 mts</t>
  </si>
  <si>
    <r>
      <t>Earth work</t>
    </r>
    <r>
      <rPr>
        <sz val="10"/>
        <rFont val="Tahoma"/>
        <family val="2"/>
      </rPr>
      <t xml:space="preserve"> excavation in all type of soils up to HDR by machinery witn in radius of 5mt cut and dump Ect complete.</t>
    </r>
  </si>
  <si>
    <t>Key trench</t>
  </si>
  <si>
    <t>Toe wall</t>
  </si>
  <si>
    <t>Central bed Cutting</t>
  </si>
  <si>
    <r>
      <t>Consolidation of the Key Trench</t>
    </r>
    <r>
      <rPr>
        <sz val="10"/>
        <rFont val="Tahoma"/>
        <family val="2"/>
      </rPr>
      <t xml:space="preserve"> with already excavated soils by 8-10T power roller to procter density including watering with intial lead of 0.5 Km ect complete.</t>
    </r>
  </si>
  <si>
    <t>Key trench portion</t>
  </si>
  <si>
    <t>available soils</t>
  </si>
  <si>
    <t>Borrowed soils</t>
  </si>
  <si>
    <r>
      <t xml:space="preserve">Providing </t>
    </r>
    <r>
      <rPr>
        <b/>
        <sz val="10"/>
        <rFont val="Tahoma"/>
        <family val="2"/>
      </rPr>
      <t>CC Plank 500x500x50 mm</t>
    </r>
    <r>
      <rPr>
        <sz val="10"/>
        <rFont val="Tahoma"/>
        <family val="2"/>
      </rPr>
      <t xml:space="preserve"> thick  with (1:1.5:3) using 12mm HBG metal for inside slopes of the bund portion on the gravel backing including wlded mesh of 14'' guage(3" both directions) cost and conveyance of the revetment, CM(1:3) pointing-20mm thick  ect complete.</t>
    </r>
  </si>
  <si>
    <t>Shear key</t>
  </si>
  <si>
    <t>Guide walls</t>
  </si>
  <si>
    <t>0.3x0.23</t>
  </si>
  <si>
    <t>Providing CC(1:4:8) for toe wall including cost and conveyance of the revetment ect complete.</t>
  </si>
  <si>
    <t xml:space="preserve">Toe wall </t>
  </si>
  <si>
    <r>
      <t xml:space="preserve">Providing and constructing </t>
    </r>
    <r>
      <rPr>
        <b/>
        <sz val="10"/>
        <rFont val="Tahoma"/>
        <family val="2"/>
      </rPr>
      <t>dry rubble rock-toe</t>
    </r>
    <r>
      <rPr>
        <sz val="10"/>
        <rFont val="Tahoma"/>
        <family val="2"/>
      </rPr>
      <t xml:space="preserve"> using rubble and stone chips from including cost and conveyance of all materials and labour charges, handpacking rubble and stone chips finishing top and sides to required slopes with an intial lead upto 50mts and all lifts (1.2*(1+4)/2)</t>
    </r>
  </si>
  <si>
    <t>Rocktoe</t>
  </si>
  <si>
    <t>Providing Sand Blanket including cost and conveyance of the materilas watering rolling with hand roller  etc complete.</t>
  </si>
  <si>
    <t>Providing Graded Metal including cost and conveyance of the materilas placing in position etc complete.</t>
  </si>
  <si>
    <t>Providing Grass Turfing for Out side Bund Slopes as protection work including watering for 3 months with initial lead for conveyance of water and grass etc complete.</t>
  </si>
  <si>
    <t>Provision for Bailing out water</t>
  </si>
  <si>
    <t>Outlet &amp; Inlet Arrangement CI Pipe</t>
  </si>
  <si>
    <t>Depth below G.L</t>
  </si>
  <si>
    <t>Sump int dia</t>
  </si>
  <si>
    <t>Up lift condition</t>
  </si>
  <si>
    <t>no</t>
  </si>
  <si>
    <t>11 cum</t>
  </si>
  <si>
    <t>23 cum</t>
  </si>
  <si>
    <t>40 cum</t>
  </si>
  <si>
    <t>Water table Ht</t>
  </si>
  <si>
    <t>Free Board</t>
  </si>
  <si>
    <t>Ht above G.L</t>
  </si>
  <si>
    <t xml:space="preserve">      Ground level</t>
  </si>
  <si>
    <t>Clear water sump live capacity</t>
  </si>
  <si>
    <t>Clear water sump Total capacity</t>
  </si>
  <si>
    <t>Detailed estimate cum abstract estimate</t>
  </si>
  <si>
    <t>Name of the work: Contruction of the Sump Flat</t>
  </si>
  <si>
    <t>Initial</t>
  </si>
  <si>
    <t>2 nd mattu</t>
  </si>
  <si>
    <t>Top of the slab               II</t>
  </si>
  <si>
    <t>Side wall  inside</t>
  </si>
  <si>
    <t>Side wall Out Side</t>
  </si>
  <si>
    <t>Unforcen items</t>
  </si>
  <si>
    <t xml:space="preserve">          Ground level</t>
  </si>
  <si>
    <t>c.c (1:4:8)</t>
  </si>
  <si>
    <t>Clear water Sump</t>
  </si>
  <si>
    <t xml:space="preserve">Note : I.    All dimensions are in Mts </t>
  </si>
  <si>
    <t xml:space="preserve">         II.    Reinforcemnt detailing shall be accordance with IS-SP 34</t>
  </si>
  <si>
    <t>Deatiled cum abstract Estimate</t>
  </si>
  <si>
    <t xml:space="preserve"> Name of the work:Construction of the Sump</t>
  </si>
  <si>
    <t xml:space="preserve">Lts </t>
  </si>
  <si>
    <t>1 st mattu</t>
  </si>
  <si>
    <t>2nd mattu</t>
  </si>
  <si>
    <t>3nd mattu</t>
  </si>
  <si>
    <t xml:space="preserve">3) </t>
  </si>
  <si>
    <t xml:space="preserve">4) </t>
  </si>
  <si>
    <r>
      <t>M30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bottom raft</t>
    </r>
  </si>
  <si>
    <t xml:space="preserve">5) </t>
  </si>
  <si>
    <r>
      <t>M30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Side walls</t>
    </r>
  </si>
  <si>
    <t xml:space="preserve">7) </t>
  </si>
  <si>
    <r>
      <t>M30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Top Doome</t>
    </r>
  </si>
  <si>
    <t>2 x p</t>
  </si>
  <si>
    <t xml:space="preserve">8) </t>
  </si>
  <si>
    <r>
      <t>M30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Ring Beam</t>
    </r>
  </si>
  <si>
    <t xml:space="preserve">9) </t>
  </si>
  <si>
    <t>Top of the Doome</t>
  </si>
  <si>
    <t>2p</t>
  </si>
  <si>
    <t xml:space="preserve">10) </t>
  </si>
  <si>
    <t>Side walls Out Side</t>
  </si>
  <si>
    <t xml:space="preserve">11) </t>
  </si>
  <si>
    <t xml:space="preserve">Side walls Out Side </t>
  </si>
  <si>
    <t xml:space="preserve">Top Doome </t>
  </si>
  <si>
    <t xml:space="preserve">12) </t>
  </si>
  <si>
    <r>
      <t xml:space="preserve">Supply and placing of the </t>
    </r>
    <r>
      <rPr>
        <b/>
        <sz val="10"/>
        <rFont val="Tahoma"/>
        <family val="2"/>
      </rPr>
      <t>HYSD</t>
    </r>
    <r>
      <rPr>
        <sz val="10"/>
        <rFont val="Tahoma"/>
        <family val="2"/>
      </rPr>
      <t xml:space="preserve"> bars, fabrication including cost and conveyance of all the materials etc complete.(Including 5% Wastage)</t>
    </r>
  </si>
  <si>
    <t xml:space="preserve">13) </t>
  </si>
  <si>
    <r>
      <t>Supply and placing of the</t>
    </r>
    <r>
      <rPr>
        <b/>
        <sz val="10"/>
        <rFont val="Tahoma"/>
        <family val="2"/>
      </rPr>
      <t xml:space="preserve"> Manhole cover</t>
    </r>
    <r>
      <rPr>
        <sz val="10"/>
        <rFont val="Tahoma"/>
        <family val="2"/>
      </rPr>
      <t xml:space="preserve"> including cost and conveyance of the materials etc complete.</t>
    </r>
  </si>
  <si>
    <t xml:space="preserve">14) </t>
  </si>
  <si>
    <t xml:space="preserve">15) </t>
  </si>
  <si>
    <t>Rate per Kg as per SSR</t>
  </si>
  <si>
    <t>Pig iron-SSR</t>
  </si>
  <si>
    <t>Coke-SSR</t>
  </si>
  <si>
    <t>Prsent Pig iron Cost</t>
  </si>
  <si>
    <t>Present Coke Cost</t>
  </si>
  <si>
    <t>Weight of Double Flanged CI pipes as per 7181 : 1986 (Table 2)</t>
  </si>
  <si>
    <t>0.6 mtrs Length</t>
  </si>
  <si>
    <t>tail piece</t>
  </si>
  <si>
    <t>Sno.</t>
  </si>
  <si>
    <t>Wt. of 1m length</t>
  </si>
  <si>
    <t>wt. of 0.6 m length</t>
  </si>
  <si>
    <t>Wt. of one flange</t>
  </si>
  <si>
    <t>wt. of double flange</t>
  </si>
  <si>
    <t>Total wt.</t>
  </si>
  <si>
    <t>rate per Kg</t>
  </si>
  <si>
    <t>Revised cost</t>
  </si>
  <si>
    <t>wt</t>
  </si>
  <si>
    <t>rate</t>
  </si>
  <si>
    <t>mm</t>
  </si>
  <si>
    <t>0.9 mtrs Length</t>
  </si>
  <si>
    <t>wt. of 0.9 m length</t>
  </si>
  <si>
    <t>1.0 mtrs Length</t>
  </si>
  <si>
    <t>wt. of 1.0 m length</t>
  </si>
  <si>
    <t>2.0 mtrs Length</t>
  </si>
  <si>
    <t>wt. of 2.0 m length</t>
  </si>
  <si>
    <t>2.75 mtrs Length</t>
  </si>
  <si>
    <t>wt. of 2.75 m length</t>
  </si>
  <si>
    <t>Rates of various materials-With Price Variation</t>
  </si>
  <si>
    <t>Size</t>
  </si>
  <si>
    <t>2m d/f</t>
  </si>
  <si>
    <t>.9 d/f</t>
  </si>
  <si>
    <t>.6 d/f</t>
  </si>
  <si>
    <t>bellmouth</t>
  </si>
  <si>
    <t>90 bend</t>
  </si>
  <si>
    <t>tpiece</t>
  </si>
  <si>
    <t>DuFbend</t>
  </si>
  <si>
    <t>semicir</t>
  </si>
  <si>
    <r>
      <t>DI D/F Gate  valves With 5% Extra for Conveyance-</t>
    </r>
    <r>
      <rPr>
        <b/>
        <sz val="8"/>
        <color indexed="10"/>
        <rFont val="Arial"/>
        <family val="2"/>
      </rPr>
      <t xml:space="preserve">PN1.6 </t>
    </r>
  </si>
  <si>
    <t>Weight of Double Flanged CI Bends  as per IS : 1538 : 1993 (Table 21&amp; 23)</t>
  </si>
  <si>
    <t xml:space="preserve">Double Flanged 90 deg Bends </t>
  </si>
  <si>
    <t>Wt. in</t>
  </si>
  <si>
    <t>Kg/ Pc</t>
  </si>
  <si>
    <t xml:space="preserve">Double Flanged 45 deg Bends </t>
  </si>
  <si>
    <t>Weight of Duck Foot Bends  as per IS : 1538 : 1993 (Table 22)</t>
  </si>
  <si>
    <t>Duck Foot Bend</t>
  </si>
  <si>
    <t>Weight of Bell Mouth Pieces  as per IS : 1538 : 1993 (Table 20)</t>
  </si>
  <si>
    <t>Wt. of bell mouth in</t>
  </si>
  <si>
    <t>Semi Circular Bends</t>
  </si>
  <si>
    <t xml:space="preserve">        Input data</t>
  </si>
  <si>
    <t>yes</t>
  </si>
  <si>
    <t>OHSR Capacity</t>
  </si>
  <si>
    <t>Valv Ch 0.90</t>
  </si>
  <si>
    <t>Vlav Ch1.05</t>
  </si>
  <si>
    <t>Valv Ch1.20</t>
  </si>
  <si>
    <t>Valv 25% add</t>
  </si>
  <si>
    <t>Raft require</t>
  </si>
  <si>
    <t>Basic rate</t>
  </si>
  <si>
    <t>Cement rate</t>
  </si>
  <si>
    <t>Steel rate</t>
  </si>
  <si>
    <t>PH SSR Cem rate</t>
  </si>
  <si>
    <t>PH SSR steel rate</t>
  </si>
  <si>
    <t>Lts Capacity  OHSR</t>
  </si>
  <si>
    <t>M.W.L</t>
  </si>
  <si>
    <t>L.W.L</t>
  </si>
  <si>
    <t>Dead storge</t>
  </si>
  <si>
    <t>Inlet pipe</t>
  </si>
  <si>
    <t>Outlet pipe</t>
  </si>
  <si>
    <t>Scour pipe</t>
  </si>
  <si>
    <t>Over flow</t>
  </si>
  <si>
    <t>Rec.dia</t>
  </si>
  <si>
    <t>Sluice valve</t>
  </si>
  <si>
    <t>HDPE Pipe</t>
  </si>
  <si>
    <t>Sluice Cost</t>
  </si>
  <si>
    <t>Wind Velocity</t>
  </si>
  <si>
    <t>KMPH</t>
  </si>
  <si>
    <t>Velocity</t>
  </si>
  <si>
    <t>Pressure</t>
  </si>
  <si>
    <t xml:space="preserve">Construction of </t>
  </si>
  <si>
    <t>Lts capacity OHSR with</t>
  </si>
  <si>
    <t>Mts staging</t>
  </si>
  <si>
    <r>
      <t xml:space="preserve">platering with CM(1:3) 2 coats of Whether proof emulsion painting for external surfaces ,and 3 coats of epoxy paint to inner surface of the reservoir including roof down,lettering as per Dept Direction ,S/Fof  the CI D/F Pipes verticals , vlaves,Execution as per Design and drawigns supplied by the Dept , including the cost and conveyance of the all materials , Bends , Specials Ect complete including the follwing. </t>
    </r>
    <r>
      <rPr>
        <b/>
        <u/>
        <sz val="10"/>
        <color indexed="12"/>
        <rFont val="Tahoma"/>
        <family val="2"/>
      </rPr>
      <t>M30 Grade Concrete</t>
    </r>
  </si>
  <si>
    <t>a)Balcony of 0.75mts width at floor slab level</t>
  </si>
  <si>
    <t xml:space="preserve">b)C.I man hole covers with frame of size 0.60 X 0.60 mts </t>
  </si>
  <si>
    <t>c)RCC mosquito proof ventilator</t>
  </si>
  <si>
    <t>d)RCC phinial 1 No</t>
  </si>
  <si>
    <t>e)RCC pre-cast ladder or Aluminium ladder  of 0.45 mts width 2 nos</t>
  </si>
  <si>
    <t>f)Water level indicator of approved pattern 1 No</t>
  </si>
  <si>
    <t xml:space="preserve">g)Lightening arrestor of approved pattern 1 No complete including conductor earthing </t>
  </si>
  <si>
    <t>i) The ladder shall be with M.S ladder and Verticals with HDPE of 10kg/Sqcm shall be provided as per SSR .</t>
  </si>
  <si>
    <t xml:space="preserve">A) Basic cost </t>
  </si>
  <si>
    <t xml:space="preserve">    X</t>
  </si>
  <si>
    <t>: Rs</t>
  </si>
  <si>
    <t>B) Rate is including of raft foundation</t>
  </si>
  <si>
    <t>C) Add for increse in price of cement</t>
  </si>
  <si>
    <t xml:space="preserve">             ( 100   X    100)</t>
  </si>
  <si>
    <t>D) Add for increase/ Decrease in price of Steel</t>
  </si>
  <si>
    <t xml:space="preserve">             ( 1000   X    100)</t>
  </si>
  <si>
    <t xml:space="preserve">F) Add or deduct for Wind Pressure </t>
  </si>
  <si>
    <t>63mm</t>
  </si>
  <si>
    <t xml:space="preserve"> 3 Nos</t>
  </si>
  <si>
    <t>I) Cost of valve chambers</t>
  </si>
  <si>
    <t>J) Add Contractor's Profit</t>
  </si>
  <si>
    <t>K) Provision for unforceen items</t>
  </si>
  <si>
    <t>Total cost</t>
  </si>
  <si>
    <t>Valve Ch rate</t>
  </si>
  <si>
    <t>Rate per lt</t>
  </si>
  <si>
    <t xml:space="preserve">RAPID SAND FILTER </t>
  </si>
  <si>
    <r>
      <t>Construction of Rapid Gravity Filteration plant including civil, mechanical and electrical trial running etc. complete</t>
    </r>
    <r>
      <rPr>
        <sz val="12"/>
        <color indexed="12"/>
        <rFont val="Tahoma"/>
        <family val="2"/>
      </rPr>
      <t>-</t>
    </r>
    <r>
      <rPr>
        <b/>
        <sz val="12"/>
        <color indexed="12"/>
        <rFont val="Tahoma"/>
        <family val="2"/>
      </rPr>
      <t xml:space="preserve">M30 Grade concrete). </t>
    </r>
  </si>
  <si>
    <t>A)</t>
  </si>
  <si>
    <r>
      <t xml:space="preserve"> </t>
    </r>
    <r>
      <rPr>
        <b/>
        <u/>
        <sz val="11"/>
        <rFont val="Times New Roman"/>
        <family val="1"/>
      </rPr>
      <t>Civil Works</t>
    </r>
  </si>
  <si>
    <t>(All works of VRCC Shall be in M30 design mix)</t>
  </si>
  <si>
    <t>1). Stilling Chamber and Areation cascade</t>
  </si>
  <si>
    <t>2). Ventury flume channel with measuring device</t>
  </si>
  <si>
    <t>3) Flash Mixer chamber</t>
  </si>
  <si>
    <t>4) .Clariflucculator / tube settler &amp; flocculation tanks</t>
  </si>
  <si>
    <t>5). Filter house, chemical house, Alum store, laboratory office room chlorination plant room, toilet etc. (All items shall be under RCC roof only). Separate Isolated chemical house &amp; chlorinator room has to be provided.</t>
  </si>
  <si>
    <t>6). Wash water tank of suitable capacity</t>
  </si>
  <si>
    <t>7) .All the doors and windows are of aluminimum make</t>
  </si>
  <si>
    <t xml:space="preserve">8) .All pipes and valves in filter beds are of D.I. make &amp; connection from Flash mixer to Tube settler / Flocculation tank, sludge disposal pipes are of D.I. make. The size of sludge disposal pipe shall be minimum of 450 mm dia with C.I pipe. </t>
  </si>
  <si>
    <t>9)  The bottom level of the clear water control chamber must be above G.L so as to dispose the leakage water by gravity.</t>
  </si>
  <si>
    <t>10) . Clariflucculator bridge including sludge srcapping arrangement shall be with stainless steel of Grade 304 for chemical resistance and durability</t>
  </si>
  <si>
    <t>11) Railing for all the components shall be provided with Stainless steel of grade 304 for a height of 0.90mts.</t>
  </si>
  <si>
    <t>12).Path ways in filter beds : Middle pathway: Minimum of 1.50mts, Side pathway: Minimum of 1.20mts.</t>
  </si>
  <si>
    <t>13).Flooring in filter house shall be with 12mm thick Non-skid tiles.</t>
  </si>
  <si>
    <t>14).Back wash water tank shall be constrcuted at a minimum height of 1.50mts above  roof slab.</t>
  </si>
  <si>
    <t>15).Filtration plant building ground floor level  shall be minimum of 1.20mts above height from the neary by road crust level.</t>
  </si>
  <si>
    <t>16). The minimum size of entrance hall shall be 12'x13' , Lab size shall be of 10'x15', Office room size shall be of 10'x15'.</t>
  </si>
  <si>
    <t>17). The water from the treatment plant shall be tested for quantity and quality simultaneously.</t>
  </si>
  <si>
    <t>18). Sufficient head room shall be provided at alum tank.</t>
  </si>
  <si>
    <t>19). S.S railing of grade 304 shall be provided for staircase.</t>
  </si>
  <si>
    <t xml:space="preserve">20). Testing of blowers as per I.S norms. </t>
  </si>
  <si>
    <t>21).All cables shall be with copper, Cable drains shall be  covered with chequered  plate.</t>
  </si>
  <si>
    <t>22).HDPE/MDPE pipes shall be provided for water drainage .</t>
  </si>
  <si>
    <t>23).Alum storage capacity shall be for minimum period of 90 days.</t>
  </si>
  <si>
    <t xml:space="preserve">24). Digital water flow meters, pressure gauges  shall be provided of standard make  </t>
  </si>
  <si>
    <t>25).Chemical house and chlorine storage system shall be constructed out side of plant</t>
  </si>
  <si>
    <t>26).Pneumatic tyre wheel shall be  provided for the bridge clariflocculator.</t>
  </si>
  <si>
    <t xml:space="preserve">27). Min LUX levels inside the treatment plant shall be maintained.  </t>
  </si>
  <si>
    <t>28). The length of sludge disposal drain shall be  minimum of 30mts.</t>
  </si>
  <si>
    <t>29).Yard lighting shall be provided as per norms.</t>
  </si>
  <si>
    <t>30).Chlorimeter vaccum type:  Metito/Toshocow-Jesco/ Industrial devices.</t>
  </si>
  <si>
    <t>B)</t>
  </si>
  <si>
    <t xml:space="preserve"> Mechanical Equipment</t>
  </si>
  <si>
    <t>1)Alum dosing equipment</t>
  </si>
  <si>
    <t>2)Flash mixer equipment.</t>
  </si>
  <si>
    <t>3)Sludge disposal fittings by gravity</t>
  </si>
  <si>
    <t>4)Filtration plant euqipment instrumentation and piping.</t>
  </si>
  <si>
    <t>5)Clarifloccualation equipment (with stainless steel blades) with rotating bridge arrangeemnt etc.,</t>
  </si>
  <si>
    <t>6)Wash water tank fittings and pumpsets with 100% stand by.</t>
  </si>
  <si>
    <t>7)Air blower with motor 100% stand by and pipe connections.</t>
  </si>
  <si>
    <t>8) Chlorination equipment and pipe connections with chlorinator of 100% standbye,Vaccum feed Gas Chlorination has to provided.</t>
  </si>
  <si>
    <t>9)Spares &amp; Tools for 2 years</t>
  </si>
  <si>
    <t>10)Gaseous Chlorination with cylinders has to provided with protection measures.</t>
  </si>
  <si>
    <t xml:space="preserve">C) </t>
  </si>
  <si>
    <r>
      <t xml:space="preserve"> </t>
    </r>
    <r>
      <rPr>
        <b/>
        <u/>
        <sz val="11"/>
        <rFont val="Times New Roman"/>
        <family val="1"/>
      </rPr>
      <t xml:space="preserve">Electrical Equipment </t>
    </r>
  </si>
  <si>
    <t>1)Necessary power supply wiring to motors and switches bus bar connections as per I.E. Rules</t>
  </si>
  <si>
    <t>2)Internal wiring and illumination and fittings and fixtures for internal and external lighting exhaust fans, ceiling fans etc.</t>
  </si>
  <si>
    <t>3) Erecting mechanical &amp; Electrical equipment, trial run for 90 days 23.50 hours per day testing the treated water for efficient standards and maintenance of records and imparting training to staff.</t>
  </si>
  <si>
    <t>4)Supply of 6 - sets of completion plans and maintenance manual and brochures.</t>
  </si>
  <si>
    <t>5)Provision towards soil investigations.</t>
  </si>
  <si>
    <t>D)</t>
  </si>
  <si>
    <t>Automation for flow measurements</t>
  </si>
  <si>
    <t>1)Automated  Lab testing equipment of internationally reputed  make and consumables for one year. For filtration  plants of capacity 10 MLD and more automated online testing equipment shall be installed.</t>
  </si>
  <si>
    <t xml:space="preserve">2)  Automation for flow of Conductivity, Turbdity,Ph value, Residual Chlorine with recording &amp; Storage facility (Computer based) &amp; Alaram by SMS or other methods.  </t>
  </si>
  <si>
    <t>3)Off - Site Supervisory and Data Accusation (OSSADA) system for Raw water and clear water measuring, recording, Off-Site Digital Display and data Transmission to Cell Phone(SMS).</t>
  </si>
  <si>
    <t>Note :</t>
  </si>
  <si>
    <t xml:space="preserve">1) Alam tanks must be  bound with corroision resistant material (HDPE Lining, Bitumen Coating, tiles etc) </t>
  </si>
  <si>
    <t>2) Mechnical equipment for alam mixing and in floculation tank must be corrosive resistant (due to Alam)</t>
  </si>
  <si>
    <t>Capacity:</t>
  </si>
  <si>
    <t>Increase/Decrese  for cement</t>
  </si>
  <si>
    <t>Increase/Decrese for Steel</t>
  </si>
  <si>
    <t>Sub Total</t>
  </si>
  <si>
    <t>Without LS</t>
  </si>
  <si>
    <t>Per MLD</t>
  </si>
  <si>
    <t xml:space="preserve">Total </t>
  </si>
  <si>
    <t>Binding wire</t>
  </si>
  <si>
    <t>Delifting charges</t>
  </si>
  <si>
    <t>with SSR</t>
  </si>
  <si>
    <t>bldg.92</t>
  </si>
  <si>
    <t>Slab above 300mm</t>
  </si>
  <si>
    <t>bldg.89</t>
  </si>
  <si>
    <t>Centering Charges Footing/BedBlocks</t>
  </si>
  <si>
    <t>Lifting charges (Concrete)</t>
  </si>
  <si>
    <t>Mason Ist Class</t>
  </si>
  <si>
    <t>PHSSR-p6</t>
  </si>
  <si>
    <t>Mason II nd class/Work Inspector</t>
  </si>
  <si>
    <t>Men mazdoor</t>
  </si>
  <si>
    <t>p11</t>
  </si>
  <si>
    <t>Woman Mazdoor</t>
  </si>
  <si>
    <t>Centering Charges Ring Beam/Cir Col</t>
  </si>
  <si>
    <t>PHSSR-p46</t>
  </si>
  <si>
    <t>Centering Charges Doome</t>
  </si>
  <si>
    <t>Earth work Initial rate (up to 3M)</t>
  </si>
  <si>
    <t>R&amp;B.Ch.11/1</t>
  </si>
  <si>
    <t>Earth work Initial rate(3-6m)</t>
  </si>
  <si>
    <t>R&amp;B.Ch.11/2/A</t>
  </si>
  <si>
    <t>Earth work Initial rate(above-6m)</t>
  </si>
  <si>
    <t>R&amp;B.Ch.11/3/A</t>
  </si>
  <si>
    <t>Sand filling Charges</t>
  </si>
  <si>
    <t xml:space="preserve">Water </t>
  </si>
  <si>
    <t>M 189</t>
  </si>
  <si>
    <t>dome slabs centering</t>
  </si>
  <si>
    <t>buildings</t>
  </si>
  <si>
    <t>Beams</t>
  </si>
  <si>
    <t>Column/Braces centering charges</t>
  </si>
  <si>
    <t>PH P-301</t>
  </si>
  <si>
    <t>20a</t>
  </si>
  <si>
    <t>Brace centering charges(Circular)</t>
  </si>
  <si>
    <t>PH p-47</t>
  </si>
  <si>
    <t>Column/Walls Circular</t>
  </si>
  <si>
    <t>Beams above 3.66m height</t>
  </si>
  <si>
    <t>Sun shades 0.6m Width</t>
  </si>
  <si>
    <t>Roof slab up to 150mm thick</t>
  </si>
  <si>
    <t>above 3.66m</t>
  </si>
  <si>
    <t>Roof slab 150-300mm thick</t>
  </si>
  <si>
    <t>Roof slab above 300.0mm thick above 3.66m height</t>
  </si>
  <si>
    <t>upto 3.66mts height</t>
  </si>
  <si>
    <t>Helical Stair case</t>
  </si>
  <si>
    <t>1 sqmt</t>
  </si>
  <si>
    <t>Concrete Mixer 10 / 7 cft (0.2 / 0.8 cum) capacity</t>
  </si>
  <si>
    <t>P-134 CSSR</t>
  </si>
  <si>
    <t xml:space="preserve"> item 16</t>
  </si>
  <si>
    <t>Cost of Diesel for Miller</t>
  </si>
  <si>
    <t xml:space="preserve"> per Lts</t>
  </si>
  <si>
    <t>C-SSR p-21</t>
  </si>
  <si>
    <t>Cost of Petrol for Vibrator per Lts</t>
  </si>
  <si>
    <t>RCC Vertical wall of circular</t>
  </si>
  <si>
    <t>Side walls curved surfaces.</t>
  </si>
  <si>
    <t>Side walls St Surface</t>
  </si>
  <si>
    <t>PH p-48</t>
  </si>
  <si>
    <t>Lifting charges (Mortar)</t>
  </si>
  <si>
    <t>Pig Iron as per SSR</t>
  </si>
  <si>
    <t>PH p-108</t>
  </si>
  <si>
    <t>Coke as per SSR</t>
  </si>
  <si>
    <t>CI specials per Kg as per SSR</t>
  </si>
  <si>
    <t>RCC Vertical wall of straight</t>
  </si>
  <si>
    <t>both faces</t>
  </si>
  <si>
    <t>wood primer</t>
  </si>
  <si>
    <t>cost of paint</t>
  </si>
  <si>
    <t>Bld SSR-28-S.No382</t>
  </si>
  <si>
    <t>cost of white cement</t>
  </si>
  <si>
    <t>Bld SSR-88-S.No943</t>
  </si>
  <si>
    <t>Snowcem @</t>
  </si>
  <si>
    <t>Bld SSR-27-S.No376</t>
  </si>
  <si>
    <t>water proof cement</t>
  </si>
  <si>
    <t>Bld SSR-18-S.No156</t>
  </si>
  <si>
    <t>Painter 1st class</t>
  </si>
  <si>
    <t>Acco Proof powder</t>
  </si>
  <si>
    <t>weigh Batcher hire charges</t>
  </si>
  <si>
    <r>
      <t>DI D/F Gate valves (soft seated) upto 600mm dia and butter fly valves above 600mm With 5% Extra for Conveyance-</t>
    </r>
    <r>
      <rPr>
        <b/>
        <sz val="8"/>
        <color indexed="10"/>
        <rFont val="Arial"/>
        <family val="2"/>
      </rPr>
      <t>PN1.6</t>
    </r>
  </si>
  <si>
    <t>Cement</t>
  </si>
  <si>
    <t>Steel</t>
  </si>
  <si>
    <t>per MT</t>
  </si>
  <si>
    <t>PH p-51</t>
  </si>
  <si>
    <t>Upto 10,000 Litres capacity</t>
  </si>
  <si>
    <t>15,000 Litres capacity</t>
  </si>
  <si>
    <t>20,000 Litres capacity</t>
  </si>
  <si>
    <t xml:space="preserve"> 40,000   Litres capacity                               </t>
  </si>
  <si>
    <t xml:space="preserve"> 60,000 Litres capacity                               </t>
  </si>
  <si>
    <t xml:space="preserve"> 1,00,000 Litres capacity                               </t>
  </si>
  <si>
    <t>90kl</t>
  </si>
  <si>
    <t xml:space="preserve"> </t>
  </si>
  <si>
    <t xml:space="preserve"> 2,00,000 Litres capacity                               </t>
  </si>
  <si>
    <t>120kl</t>
  </si>
  <si>
    <t xml:space="preserve"> 3,00,000 Litres capacity                               </t>
  </si>
  <si>
    <t>150kl</t>
  </si>
  <si>
    <t xml:space="preserve"> 4,00,000 Litres capacity                               </t>
  </si>
  <si>
    <t>250kl</t>
  </si>
  <si>
    <t xml:space="preserve"> 4,50,000 Litres capacity                               </t>
  </si>
  <si>
    <t>Steel Rate</t>
  </si>
  <si>
    <t>SSR-P</t>
  </si>
  <si>
    <t>Loading</t>
  </si>
  <si>
    <t>unloading</t>
  </si>
  <si>
    <t>RR stone</t>
  </si>
  <si>
    <t>shabad stone</t>
  </si>
  <si>
    <t>5km</t>
  </si>
  <si>
    <t>old</t>
  </si>
  <si>
    <t>Kms</t>
  </si>
  <si>
    <t>Metal</t>
  </si>
  <si>
    <t>Bricks</t>
  </si>
  <si>
    <t>5-15km</t>
  </si>
  <si>
    <t>15-30Km</t>
  </si>
  <si>
    <t>above 30 km</t>
  </si>
  <si>
    <t>For metal</t>
  </si>
  <si>
    <t>and sand</t>
  </si>
  <si>
    <t>For Bricks</t>
  </si>
  <si>
    <t>For shabad</t>
  </si>
  <si>
    <t>P 130</t>
  </si>
  <si>
    <t>DATA SHEET</t>
  </si>
  <si>
    <t>MA</t>
  </si>
  <si>
    <t xml:space="preserve">ordianry gravelly soils for foundations </t>
  </si>
  <si>
    <t>cum</t>
  </si>
  <si>
    <t>Initial rate</t>
  </si>
  <si>
    <t>Total rate per 1cum</t>
  </si>
  <si>
    <t>For 3m to 6m</t>
  </si>
  <si>
    <t>Initial cost</t>
  </si>
  <si>
    <t>For  above 6m depth</t>
  </si>
  <si>
    <t>1 cum</t>
  </si>
  <si>
    <t>Intial cost</t>
  </si>
  <si>
    <t>Sand filling in basement with watering and tamping etc. complete.</t>
  </si>
  <si>
    <t>cost of sand @</t>
  </si>
  <si>
    <t>Rs.</t>
  </si>
  <si>
    <t>per cum</t>
  </si>
  <si>
    <t>Total rate per cum Rs.</t>
  </si>
  <si>
    <t>Cement concrete (1:4:8)prop using 40 mm gauge HG metal including cost &amp;conveyance</t>
  </si>
  <si>
    <t xml:space="preserve"> of all materials and labour charges ,seigniorage charges using concret mixer etc complete</t>
  </si>
  <si>
    <t>kg</t>
  </si>
  <si>
    <t xml:space="preserve">Coarse aggregate 40 mm </t>
  </si>
  <si>
    <t>Sand for concrete</t>
  </si>
  <si>
    <t>each</t>
  </si>
  <si>
    <t>kl</t>
  </si>
  <si>
    <t>Water (including for curing)</t>
  </si>
  <si>
    <t>bldg.13</t>
  </si>
  <si>
    <t>hour</t>
  </si>
  <si>
    <t>day</t>
  </si>
  <si>
    <r>
      <t>Mason 1</t>
    </r>
    <r>
      <rPr>
        <vertAlign val="superscript"/>
        <sz val="9"/>
        <rFont val="Tahoma"/>
        <family val="2"/>
      </rPr>
      <t>st</t>
    </r>
    <r>
      <rPr>
        <sz val="9"/>
        <rFont val="Tahoma"/>
        <family val="2"/>
      </rPr>
      <t xml:space="preserve"> class</t>
    </r>
  </si>
  <si>
    <t>Mazdoor (unskilled)</t>
  </si>
  <si>
    <t>Water Charges 1%</t>
  </si>
  <si>
    <t>Total Rs.</t>
  </si>
  <si>
    <t>Cement concrete (1:2.5:5)prop using 40 mm,0.050mm,10mm gauge HG metal including cost &amp;conveyance</t>
  </si>
  <si>
    <t>M15 Grade</t>
  </si>
  <si>
    <t xml:space="preserve">Coarse aggregate 20 mm </t>
  </si>
  <si>
    <t xml:space="preserve">Coarse aggregate 10 mm </t>
  </si>
  <si>
    <t>Construction of Randam rubble stone masonry in CM(1:6) 2nd sort including cost and</t>
  </si>
  <si>
    <t xml:space="preserve"> conveyance of all materials and labour charges ,seigniorage charges etc complete.</t>
  </si>
  <si>
    <t>CR Stone</t>
  </si>
  <si>
    <t>Rough Stone</t>
  </si>
  <si>
    <t>Bond Stones 7Nos 0.24 x 0.24 x 0.39 = 0.16cum</t>
  </si>
  <si>
    <t>bldg.44</t>
  </si>
  <si>
    <t>Sand for Mortar</t>
  </si>
  <si>
    <t>Construction of course rubble stone masonry in CM(1:6) 2nd sort including cost and</t>
  </si>
  <si>
    <t>Intial cost of CR stone @</t>
  </si>
  <si>
    <t>nos.</t>
  </si>
  <si>
    <t>masons 1st class @</t>
  </si>
  <si>
    <t>bldg.39</t>
  </si>
  <si>
    <t>man and woman mazdoor @</t>
  </si>
  <si>
    <t>cost of cement @</t>
  </si>
  <si>
    <t>Construction of super stucture with brick masonary in (1:6) using 2nd class bricks including</t>
  </si>
  <si>
    <t>cost and conveyance of all materials,labour charges and seign. charges etc. complete.</t>
  </si>
  <si>
    <t>cost of bricks</t>
  </si>
  <si>
    <t>per 1000</t>
  </si>
  <si>
    <t>brick layer 1st class @</t>
  </si>
  <si>
    <t>brick layer 2nd class @</t>
  </si>
  <si>
    <t>bldg.30/iv</t>
  </si>
  <si>
    <t>Cement concrete(1:1.5:3) prop using 20mm gauge HG metal including cost and conveyance</t>
  </si>
  <si>
    <t>of all materials and labour charges ,seign. charges etc.complete.</t>
  </si>
  <si>
    <t>FOUNDATIONS, PLINTH, PEDESTALS (Below Plinth)</t>
  </si>
  <si>
    <t>20mm HBG graded metal</t>
  </si>
  <si>
    <t>Kgs</t>
  </si>
  <si>
    <t>1st Class Mason</t>
  </si>
  <si>
    <t>2nd Class Mason</t>
  </si>
  <si>
    <t>Mazdoor (Both Men and Women)</t>
  </si>
  <si>
    <t>bldg.21-A</t>
  </si>
  <si>
    <t>Liters</t>
  </si>
  <si>
    <t>Cost of Petrol for Vibrator</t>
  </si>
  <si>
    <t>Total rate per cum</t>
  </si>
  <si>
    <t>COLUMNS, LINTELS, WATER TANKS, RCC WALLS IN BUILDINGS</t>
  </si>
  <si>
    <t>bldg.21-B</t>
  </si>
  <si>
    <t>RCC SLABS, BEAMS</t>
  </si>
  <si>
    <t>bldg.21-C</t>
  </si>
  <si>
    <t>Pump House Roof Slab</t>
  </si>
  <si>
    <t>VRCC (1:1.5:3) using 20mm HBG metal including cost and conveyance of all material, labour charges, centering etc., complete but excluding cost of steel and its fabrication charges for round slab of</t>
  </si>
  <si>
    <t>mm thick</t>
  </si>
  <si>
    <t>Cost of VCC (1:1.5:3)</t>
  </si>
  <si>
    <t>sqm</t>
  </si>
  <si>
    <t>Centering charges</t>
  </si>
  <si>
    <t>Sqm</t>
  </si>
  <si>
    <t>Sundies</t>
  </si>
  <si>
    <r>
      <t xml:space="preserve">Total </t>
    </r>
    <r>
      <rPr>
        <b/>
        <sz val="10"/>
        <rFont val="Tahoma"/>
        <family val="2"/>
      </rPr>
      <t>10sqmt</t>
    </r>
  </si>
  <si>
    <t>Pump House ,W.Quarter</t>
  </si>
  <si>
    <r>
      <t xml:space="preserve">VRCC (1:1.5:3) using 20mm HBG metal including cost and conveyance of all material, labour charges, centering etc., complete but excluding cost of steel and its fabrication charges for </t>
    </r>
    <r>
      <rPr>
        <b/>
        <sz val="10"/>
        <rFont val="Tahoma"/>
        <family val="2"/>
      </rPr>
      <t>floor slab of</t>
    </r>
  </si>
  <si>
    <t>Prop</t>
  </si>
  <si>
    <t>Item</t>
  </si>
  <si>
    <t>Basic Rate &amp; labour Including Cont Profit</t>
  </si>
  <si>
    <t>Centering Charges</t>
  </si>
  <si>
    <t>Total Rate</t>
  </si>
  <si>
    <t>(1:1.5:3)</t>
  </si>
  <si>
    <t>Footings</t>
  </si>
  <si>
    <t>/1Cum</t>
  </si>
  <si>
    <t>Roof slab 150mm thick</t>
  </si>
  <si>
    <t xml:space="preserve">Cost of CM(1:3) prop including cost and conveyance of all materials and labour </t>
  </si>
  <si>
    <t>charges etc., complete.</t>
  </si>
  <si>
    <t>Cost of cement @</t>
  </si>
  <si>
    <t>mixing charges @</t>
  </si>
  <si>
    <t>bldg.4</t>
  </si>
  <si>
    <t xml:space="preserve">Cost of CM(1:4) prop including cost and conveyance of all materials and labour </t>
  </si>
  <si>
    <t>bldg.5</t>
  </si>
  <si>
    <t xml:space="preserve">Cost of CM(1:5) prop including cost and conveyance of all materials and labour </t>
  </si>
  <si>
    <t>bldg.6</t>
  </si>
  <si>
    <t xml:space="preserve">Cost of CM(1:6) prop including cost and conveyance of all materials and labour </t>
  </si>
  <si>
    <t>bldg.7</t>
  </si>
  <si>
    <t>Flush pointing with CM(1:3) prop for stone/brick masonry including cost and conveyance of all</t>
  </si>
  <si>
    <t xml:space="preserve"> materials,labour charges and seign. chargesetc. complete.</t>
  </si>
  <si>
    <t>masons 2nd class @</t>
  </si>
  <si>
    <t>bldg.49</t>
  </si>
  <si>
    <r>
      <rPr>
        <b/>
        <sz val="10"/>
        <rFont val="Tahoma"/>
        <family val="2"/>
      </rPr>
      <t>Plastering with CM(1:3) prop 20mm</t>
    </r>
    <r>
      <rPr>
        <sz val="10"/>
        <rFont val="Tahoma"/>
        <family val="2"/>
      </rPr>
      <t xml:space="preserve"> thick to brick wall including cost&amp;coveyance of all </t>
    </r>
  </si>
  <si>
    <t>materials, lalbour charges,seign.charges etc.complete.</t>
  </si>
  <si>
    <t>(1:3)-20mm</t>
  </si>
  <si>
    <t>(1:5)-20mm</t>
  </si>
  <si>
    <t>Cost of CM(1:3)</t>
  </si>
  <si>
    <t>Nos.</t>
  </si>
  <si>
    <t>Mason 2nd class</t>
  </si>
  <si>
    <t>Man Mazdoor</t>
  </si>
  <si>
    <t>bldg.60</t>
  </si>
  <si>
    <r>
      <t>Impervous coat with Plastering in CM(1:3)</t>
    </r>
    <r>
      <rPr>
        <sz val="10"/>
        <rFont val="Tahoma"/>
        <family val="2"/>
      </rPr>
      <t xml:space="preserve"> prop 12mm thick including cost&amp;coveyance of all </t>
    </r>
  </si>
  <si>
    <t>materials lalbour charges,seign.charges etc.complete for wearing coat.</t>
  </si>
  <si>
    <t>12mm thick</t>
  </si>
  <si>
    <t>20mm thick</t>
  </si>
  <si>
    <t>mason 1st class @</t>
  </si>
  <si>
    <t>bldg.53,112</t>
  </si>
  <si>
    <t>Kg</t>
  </si>
  <si>
    <t>accoproof chemical @</t>
  </si>
  <si>
    <t>Total rate per 10 Sqm</t>
  </si>
  <si>
    <r>
      <t>materials lalbour charges,seign.charges etc.complete for wearing coat.</t>
    </r>
    <r>
      <rPr>
        <b/>
        <sz val="10"/>
        <rFont val="Tahoma"/>
        <family val="2"/>
      </rPr>
      <t>above 3.0m</t>
    </r>
    <r>
      <rPr>
        <sz val="10"/>
        <rFont val="Tahoma"/>
        <family val="2"/>
      </rPr>
      <t xml:space="preserve"> height</t>
    </r>
  </si>
  <si>
    <t>Rate up to 3.0m heighr</t>
  </si>
  <si>
    <t>add lift charges</t>
  </si>
  <si>
    <t xml:space="preserve">using 40mm HG metal including cost and conveyance of all materials and seignorage </t>
  </si>
  <si>
    <t>Cost of CC (1:4:8) prop.</t>
  </si>
  <si>
    <t>Cost of CM(1:3) 20mm thick</t>
  </si>
  <si>
    <t>/10sqmt</t>
  </si>
  <si>
    <t>bldg.85</t>
  </si>
  <si>
    <t>Total rate per 10 sqm</t>
  </si>
  <si>
    <t xml:space="preserve">Plastering with 12mm thick with sponge finish first coat in CM(1:5) Prop 8mm </t>
  </si>
  <si>
    <t xml:space="preserve">thick and second coat in CM(1:3) prop 4mm thick including cost and conveyance </t>
  </si>
  <si>
    <t>of all materials and labour charges etc., complete</t>
  </si>
  <si>
    <t>Cost of CM(1:5) Prop 8mm</t>
  </si>
  <si>
    <t>Cost of CM(1:3) Prop 4mm</t>
  </si>
  <si>
    <t>Mason 1st class @</t>
  </si>
  <si>
    <t>/each</t>
  </si>
  <si>
    <t>Mason 2nd class @</t>
  </si>
  <si>
    <t>bldg.62</t>
  </si>
  <si>
    <t>of all materials and labour charges etc., complete above 3.0m height</t>
  </si>
  <si>
    <t>Rate up to 3.0m height</t>
  </si>
  <si>
    <t>Lift charges</t>
  </si>
  <si>
    <t>Painting to new wood work with one  primary coat including</t>
  </si>
  <si>
    <t>cost and conveyance of all materials and labour charges etc. complete.</t>
  </si>
  <si>
    <t>ltr</t>
  </si>
  <si>
    <t>/1 ltr</t>
  </si>
  <si>
    <t xml:space="preserve">painters </t>
  </si>
  <si>
    <t>bldg.145</t>
  </si>
  <si>
    <t>1%</t>
  </si>
  <si>
    <t>Sundries including brushes, soap, putty etc.,</t>
  </si>
  <si>
    <t>Total rate per 10sqm</t>
  </si>
  <si>
    <t>Painting to new wood work with synthetic enamel paint two coats over a primary coat including</t>
  </si>
  <si>
    <t>10sqm</t>
  </si>
  <si>
    <t xml:space="preserve">cost of primary coat </t>
  </si>
  <si>
    <t>litres</t>
  </si>
  <si>
    <t>bldg.149-ii</t>
  </si>
  <si>
    <t>painters 1st class</t>
  </si>
  <si>
    <t>White washing with white cement two coats including cost and conveyance of all materials</t>
  </si>
  <si>
    <t>and labour charges etc complete.</t>
  </si>
  <si>
    <t>/1kg</t>
  </si>
  <si>
    <t>Gum, Conjee water or prickly pear juice including necessary firewood</t>
  </si>
  <si>
    <t>Painter 1st class @</t>
  </si>
  <si>
    <t>bldg.134</t>
  </si>
  <si>
    <t>man and woman mazdoor</t>
  </si>
  <si>
    <t>Blue &amp;bluff colour wash two coats to basement for 10 Sqm white wash with white cement</t>
  </si>
  <si>
    <t>Add 50% extra for colour</t>
  </si>
  <si>
    <r>
      <rPr>
        <b/>
        <sz val="10"/>
        <rFont val="Tahoma"/>
        <family val="2"/>
      </rPr>
      <t>Snowcem</t>
    </r>
    <r>
      <rPr>
        <sz val="10"/>
        <rFont val="Tahoma"/>
        <family val="2"/>
      </rPr>
      <t xml:space="preserve"> paint two coats including cost and conveyence </t>
    </r>
  </si>
  <si>
    <t>of all materials and labour charges etc.comp</t>
  </si>
  <si>
    <t>per kg</t>
  </si>
  <si>
    <t>nos</t>
  </si>
  <si>
    <t>per each</t>
  </si>
  <si>
    <t>Mazdoor @</t>
  </si>
  <si>
    <t>Sundries including brushes,  etc.,</t>
  </si>
  <si>
    <t>bldg.143</t>
  </si>
  <si>
    <t xml:space="preserve">Cost of steel and its fabrication charges incl., bending, cost of binding wire etc., complete </t>
  </si>
  <si>
    <t>as per standard specification</t>
  </si>
  <si>
    <t>Steel beams</t>
  </si>
  <si>
    <t>Cost of steel</t>
  </si>
  <si>
    <t>bldg.26</t>
  </si>
  <si>
    <t>(b) Labour for cutting, bending, shifting to site, tying and placing in position</t>
  </si>
  <si>
    <t>Blacksmith / Bar bender</t>
  </si>
  <si>
    <t>Mazdoor (Unskilled)</t>
  </si>
  <si>
    <t>Sundries on Material</t>
  </si>
  <si>
    <t>1 sqm</t>
  </si>
  <si>
    <t>Supply and fixing of Rolling shutter made of 80 x 1.25mm machine rolled CRCA laths, interlocked together through their entire length and jointed together at the ends by end locks, mounted on specially designed pipe shaft of 50mm dia nominal bore MS B class pipe with brackets, plates, guide channels, stoppers, bottom locking plates and arrangements for inside and out side locking with push pull operations including cost of hood cover and springs complete, painted with one coat of approved steel primer, locks, ball bearings, all accessories etc., complete for finished item of work as per special spn: 1108 etc., complete</t>
  </si>
  <si>
    <t xml:space="preserve">Initial rate </t>
  </si>
  <si>
    <t>item as per bldg ssr 152</t>
  </si>
  <si>
    <r>
      <t xml:space="preserve">Plastering with CM (1:5) 12mm thick </t>
    </r>
    <r>
      <rPr>
        <sz val="10"/>
        <rFont val="Tahoma"/>
        <family val="2"/>
      </rPr>
      <t>including cost and conveyance of all material, labour charges etc., complete</t>
    </r>
  </si>
  <si>
    <t>Mason</t>
  </si>
  <si>
    <t>Each</t>
  </si>
  <si>
    <t>Cement Mortar (1:3)</t>
  </si>
  <si>
    <t>Cost of Cement</t>
  </si>
  <si>
    <t>Ton</t>
  </si>
  <si>
    <t>Sand (including 5% wastage)</t>
  </si>
  <si>
    <t>mazdoor forMixing charges</t>
  </si>
  <si>
    <t>Cement Mortar (1:4)</t>
  </si>
  <si>
    <t xml:space="preserve">Plain Cement concrete (1:3:6) using 40 mm metal with concrete mixture.       </t>
  </si>
  <si>
    <t>Tonne</t>
  </si>
  <si>
    <t>Fine aggregate (Sand)</t>
  </si>
  <si>
    <t>Kl</t>
  </si>
  <si>
    <t>Hour</t>
  </si>
  <si>
    <t>Supply and placing of the Design Mix Concrete corresponding to IS 456 using WEIGH BATCHER / MIXER with 20mm size graded machine crushed hard granite metal (coarse aggregate) from approved quarry including cost and conveyance of all materials like cement,  for  M-30 grade</t>
  </si>
  <si>
    <t xml:space="preserve"> M30 Grade (Design Mix)</t>
  </si>
  <si>
    <t>Weigh Batcher hire charges</t>
  </si>
  <si>
    <r>
      <t xml:space="preserve">VRCC (1:1.5:3) using 20mm HBG metal including cost and conveyance of all material, labour charges, centering etc., complete but excluding cost of steel and its fabrication charges for </t>
    </r>
    <r>
      <rPr>
        <b/>
        <sz val="10"/>
        <rFont val="Tahoma"/>
        <family val="2"/>
      </rPr>
      <t>floor slab for foundations</t>
    </r>
  </si>
  <si>
    <r>
      <t xml:space="preserve">VRCC (1:1.5:3) using 20mm HBG metal including cost and conveyance of all material, labour charges, centering etc., complete but excluding cost of steel and its fabrication charges for </t>
    </r>
    <r>
      <rPr>
        <b/>
        <sz val="10"/>
        <rFont val="Tahoma"/>
        <family val="2"/>
      </rPr>
      <t>Haunch portion</t>
    </r>
  </si>
  <si>
    <r>
      <t>VRCC (1:1.5:3) using 20mm HBG metal including cost and conveyance of all material, labour charges, centering etc., complete but excluding cost of steel and its fabrication charges for</t>
    </r>
    <r>
      <rPr>
        <b/>
        <sz val="10"/>
        <rFont val="Tahoma"/>
        <family val="2"/>
      </rPr>
      <t xml:space="preserve"> side wall of (Circular)</t>
    </r>
  </si>
  <si>
    <t>Sump</t>
  </si>
  <si>
    <t>Cost of CC (1:1.5:3)</t>
  </si>
  <si>
    <t>Sump-Flat</t>
  </si>
  <si>
    <r>
      <t>RCC (1:1.5:3) using 20mm HBG metal</t>
    </r>
    <r>
      <rPr>
        <sz val="10"/>
        <rFont val="Tahoma"/>
        <family val="2"/>
      </rPr>
      <t xml:space="preserve"> including cost and conveyance of all material, labour charges, centering etc., complete but excluding cost of steel and its fabrication charges </t>
    </r>
    <r>
      <rPr>
        <b/>
        <sz val="10"/>
        <rFont val="Tahoma"/>
        <family val="2"/>
      </rPr>
      <t>for Sump top slab</t>
    </r>
  </si>
  <si>
    <t>GLBR</t>
  </si>
  <si>
    <r>
      <t xml:space="preserve">VRCC (1:1.5:3) using 20mm HBG metal including cost and conveyance of all material, labour charges, centering etc., complete but excluding cost of steel and its fabrication charges </t>
    </r>
    <r>
      <rPr>
        <b/>
        <sz val="10"/>
        <rFont val="Tahoma"/>
        <family val="2"/>
      </rPr>
      <t>for top dome</t>
    </r>
  </si>
  <si>
    <t>GLBR-Doome</t>
  </si>
  <si>
    <t>Centering charges (as per bldg SSR)</t>
  </si>
  <si>
    <r>
      <t xml:space="preserve">VRCC (1:1.5:3) using 20mm HBG metal including cost and conveyance of all material, labour charges, centering etc., complete but excluding cost of steel and its fabrication charges for </t>
    </r>
    <r>
      <rPr>
        <b/>
        <sz val="10"/>
        <rFont val="Tahoma"/>
        <family val="2"/>
      </rPr>
      <t>top ring beam of</t>
    </r>
  </si>
  <si>
    <t>GLBR-Flat</t>
  </si>
  <si>
    <r>
      <t>RCC (1:1.5:3) using 20mm HBG metal</t>
    </r>
    <r>
      <rPr>
        <sz val="10"/>
        <rFont val="Tahoma"/>
        <family val="2"/>
      </rPr>
      <t xml:space="preserve"> including cost and conveyance of all material, labour charges, centering etc., complete but excluding cost of steel and its fabrication charges </t>
    </r>
    <r>
      <rPr>
        <b/>
        <sz val="10"/>
        <rFont val="Tahoma"/>
        <family val="2"/>
      </rPr>
      <t>for GLBR top slab</t>
    </r>
  </si>
  <si>
    <t>Intake-Canal</t>
  </si>
  <si>
    <t>mm thick- Side Wall</t>
  </si>
  <si>
    <t>Delifting Charges(Over intial -4M)</t>
  </si>
  <si>
    <t>Ph.Side Wall</t>
  </si>
  <si>
    <r>
      <t>RCC (1:1.5:3) using 20mm HBG metal</t>
    </r>
    <r>
      <rPr>
        <sz val="10"/>
        <rFont val="Tahoma"/>
        <family val="2"/>
      </rPr>
      <t xml:space="preserve"> including cost and conveyance of all material, labour charges, centering etc., complete but excluding cost of steel and its fabrication charges </t>
    </r>
    <r>
      <rPr>
        <b/>
        <sz val="10"/>
        <rFont val="Tahoma"/>
        <family val="2"/>
      </rPr>
      <t>for collection wellFloor Slab</t>
    </r>
  </si>
  <si>
    <t>initial lift 3mts</t>
  </si>
  <si>
    <t>VRCC (1:1.5:3) using 20mm HBG metal including cost and conveyance of all material, labour charges, centering etc., complete but excluding cost of steel and its fabrication charges for ring beam -Gfloor Level Works</t>
  </si>
  <si>
    <r>
      <t>RCC (1:1.5:3) using 20mm HBG metal</t>
    </r>
    <r>
      <rPr>
        <sz val="10"/>
        <rFont val="Tahoma"/>
        <family val="2"/>
      </rPr>
      <t xml:space="preserve"> including cost and conveyance of all material, labour charges, centering etc., complete but excluding cost of steel and its fabrication charges </t>
    </r>
    <r>
      <rPr>
        <b/>
        <sz val="10"/>
        <rFont val="Tahoma"/>
        <family val="2"/>
      </rPr>
      <t>for pump house top slab</t>
    </r>
  </si>
  <si>
    <t>Add lifting charges</t>
  </si>
  <si>
    <t>Intake Well-SSTank</t>
  </si>
  <si>
    <t>Intake-SSTank</t>
  </si>
  <si>
    <t>Lifting Charges(Over intial -5M)</t>
  </si>
  <si>
    <t>P-75 of Buildings</t>
  </si>
  <si>
    <t>Sump-Doome</t>
  </si>
  <si>
    <t xml:space="preserve">Centering charges </t>
  </si>
  <si>
    <r>
      <t>VRCC (1:1.5:3) using 20mm HBG metal including cost and conveyance of all material, labour charges, centering etc., complete but excluding cost of steel and its fabrication charges for</t>
    </r>
    <r>
      <rPr>
        <b/>
        <sz val="10"/>
        <rFont val="Tahoma"/>
        <family val="2"/>
      </rPr>
      <t xml:space="preserve"> side wall of (St)</t>
    </r>
  </si>
  <si>
    <r>
      <t xml:space="preserve">Acco proof Plastering with CM (1:3) 12mm thick </t>
    </r>
    <r>
      <rPr>
        <sz val="10"/>
        <color indexed="8"/>
        <rFont val="Tahoma"/>
        <family val="2"/>
      </rPr>
      <t>including cost and conveyance of all material, labour charges etc., complete</t>
    </r>
  </si>
  <si>
    <t>Acco proof powder</t>
  </si>
  <si>
    <r>
      <t xml:space="preserve">Plastering with CM (1:3) 12mm thick </t>
    </r>
    <r>
      <rPr>
        <sz val="10"/>
        <rFont val="Tahoma"/>
        <family val="2"/>
      </rPr>
      <t>including cost and conveyance of all material, labour charges etc., complete</t>
    </r>
  </si>
  <si>
    <t>Painting Walls with Snowcem or other equal and approved Water Proof Cement Paint over Priming Coat, 2 Coats (All Colours)</t>
  </si>
  <si>
    <t>Snowcem paint</t>
  </si>
  <si>
    <t>KG</t>
  </si>
  <si>
    <t>Painters</t>
  </si>
  <si>
    <t>Man mazdoor</t>
  </si>
  <si>
    <r>
      <t xml:space="preserve">Cement concrete (1:4:8)prop using 40 mm gauge HG metal including cost &amp;conveyance  of all materials and labour charges ,seigniorage charges etc complete </t>
    </r>
    <r>
      <rPr>
        <b/>
        <sz val="10"/>
        <rFont val="Tahoma"/>
        <family val="2"/>
      </rPr>
      <t>Hand Mixing</t>
    </r>
  </si>
  <si>
    <t>1 MT</t>
  </si>
  <si>
    <t>Intial rate of 40mm metal @</t>
  </si>
  <si>
    <t>/cum</t>
  </si>
  <si>
    <t>Cost of Sand</t>
  </si>
  <si>
    <t>Water</t>
  </si>
  <si>
    <t>Masons 1st class@</t>
  </si>
  <si>
    <t>No</t>
  </si>
  <si>
    <t xml:space="preserve">Mazdoor            </t>
  </si>
  <si>
    <t>Chambers</t>
  </si>
  <si>
    <r>
      <t>VRCC (1:1.5:3) using 20mm HBG metal including cost and conveyance of all material, labour charges, centering etc., complete but excluding cost of steel and its fabrication charges for</t>
    </r>
    <r>
      <rPr>
        <b/>
        <sz val="10"/>
        <rFont val="Tahoma"/>
        <family val="2"/>
      </rPr>
      <t xml:space="preserve"> side wall of (straight)</t>
    </r>
  </si>
  <si>
    <r>
      <t xml:space="preserve">VRCC (1:1.5:3) using 20mm HBG metal including cost and conveyance of all material, labour charges, centering etc., complete but excluding cost of steel and its fabrication charges for </t>
    </r>
    <r>
      <rPr>
        <b/>
        <sz val="10"/>
        <rFont val="Tahoma"/>
        <family val="2"/>
      </rPr>
      <t>slab of Chambers</t>
    </r>
  </si>
  <si>
    <t>Cost of VRCC (1:1.5:3)</t>
  </si>
  <si>
    <t>Collection Well with Girders</t>
  </si>
  <si>
    <r>
      <t xml:space="preserve">VRCC(1:1.5:3)  using 20 mm HBG metal including cost,conveyance and labour etc.. Complete for </t>
    </r>
    <r>
      <rPr>
        <b/>
        <sz val="10"/>
        <rFont val="Tahoma"/>
        <family val="2"/>
      </rPr>
      <t>Raft ring Beam</t>
    </r>
  </si>
  <si>
    <t>excluding cost of steel</t>
  </si>
  <si>
    <t>cost of RCC(1:11/2:3)</t>
  </si>
  <si>
    <t>Delifting Charges</t>
  </si>
  <si>
    <r>
      <t xml:space="preserve">VRCC(1:1.5:3)  using 20 mm HBG metal including cost,conveyance and labour etc.. Complete for </t>
    </r>
    <r>
      <rPr>
        <b/>
        <sz val="10"/>
        <rFont val="Tahoma"/>
        <family val="2"/>
      </rPr>
      <t>Side Wall (upto 3mts below and 3mts above GL)</t>
    </r>
  </si>
  <si>
    <t>-</t>
  </si>
  <si>
    <t>Lifting</t>
  </si>
  <si>
    <t>8-9mts</t>
  </si>
  <si>
    <t>9-10mts</t>
  </si>
  <si>
    <t>10-11mts</t>
  </si>
  <si>
    <t>11-12mts</t>
  </si>
  <si>
    <r>
      <t xml:space="preserve">VRCC(1:1.5:3)  using 20 mm HBG metal including cost,conveyance and labour etc.. Complete for </t>
    </r>
    <r>
      <rPr>
        <b/>
        <sz val="10"/>
        <rFont val="Tahoma"/>
        <family val="2"/>
      </rPr>
      <t>Side Wall</t>
    </r>
  </si>
  <si>
    <t>3 -4 Mts</t>
  </si>
  <si>
    <t>(Lift Charges)</t>
  </si>
  <si>
    <t>Intial rate</t>
  </si>
  <si>
    <t>side wall cetering charges</t>
  </si>
  <si>
    <t>0-3mts</t>
  </si>
  <si>
    <t>Not updated</t>
  </si>
  <si>
    <r>
      <t>VRCC(1:1.5:3)  using 20 mm HBG metal including cost,conveyance and labour etc.. Complete for</t>
    </r>
    <r>
      <rPr>
        <b/>
        <sz val="10"/>
        <rFont val="Tahoma"/>
        <family val="2"/>
      </rPr>
      <t xml:space="preserve"> Pump House Side Wall</t>
    </r>
  </si>
  <si>
    <r>
      <t>RCC (1:1.5:3)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Floor Slab</t>
    </r>
  </si>
  <si>
    <t>lift</t>
  </si>
  <si>
    <t xml:space="preserve">extra allowance on centring charges </t>
  </si>
  <si>
    <t>coulmn  cetering charges</t>
  </si>
  <si>
    <t>1 Sq mt</t>
  </si>
  <si>
    <t>lifts</t>
  </si>
  <si>
    <t>Brace  cetering charges</t>
  </si>
  <si>
    <t>0 - 5 Mts</t>
  </si>
  <si>
    <t>5 - 8 Mts</t>
  </si>
  <si>
    <t>8 - 11 Mts</t>
  </si>
  <si>
    <t>14- 17 Mts</t>
  </si>
  <si>
    <t>20- 23Mts</t>
  </si>
  <si>
    <t xml:space="preserve"> centering charges</t>
  </si>
  <si>
    <t>Intial Rate</t>
  </si>
  <si>
    <t xml:space="preserve"> cetering charges</t>
  </si>
  <si>
    <t>Shaft Type OHBR</t>
  </si>
  <si>
    <t>M</t>
  </si>
  <si>
    <t>lift charges</t>
  </si>
  <si>
    <t>(Average)</t>
  </si>
  <si>
    <t>Slab cetering charges</t>
  </si>
  <si>
    <t>11 - 14 Mts</t>
  </si>
  <si>
    <t>14-17 Mts</t>
  </si>
  <si>
    <t>17-20 Mts</t>
  </si>
  <si>
    <t>23-26 Mts</t>
  </si>
  <si>
    <t>For stair case columns</t>
  </si>
  <si>
    <t>m staging</t>
  </si>
  <si>
    <t>Column</t>
  </si>
  <si>
    <t>Circular</t>
  </si>
  <si>
    <t>1Cum</t>
  </si>
  <si>
    <t>0 lifts</t>
  </si>
  <si>
    <t>Sundries</t>
  </si>
  <si>
    <t>20- 23 Mts</t>
  </si>
  <si>
    <t>26- 29 Mts</t>
  </si>
  <si>
    <t>Stripping</t>
  </si>
  <si>
    <t>IRR-CAW-1-1</t>
  </si>
  <si>
    <r>
      <t xml:space="preserve">Excavation in </t>
    </r>
    <r>
      <rPr>
        <b/>
        <sz val="10"/>
        <rFont val="Tahoma"/>
        <family val="2"/>
      </rPr>
      <t>all kinds of soil</t>
    </r>
    <r>
      <rPr>
        <sz val="10"/>
        <rFont val="Tahoma"/>
        <family val="2"/>
      </rPr>
      <t xml:space="preserve"> including boulders </t>
    </r>
    <r>
      <rPr>
        <b/>
        <sz val="10"/>
        <rFont val="Tahoma"/>
        <family val="2"/>
      </rPr>
      <t>upto 0.3 m diameter for canal,</t>
    </r>
    <r>
      <rPr>
        <sz val="10"/>
        <rFont val="Tahoma"/>
        <family val="2"/>
      </rPr>
      <t xml:space="preserve"> seating of</t>
    </r>
  </si>
  <si>
    <t>embankment, filter drains / catch water drains etc., including dressing bed and sides to</t>
  </si>
  <si>
    <t>required level and profile, cost of all materials, machinery, labour, placing the excavated soil</t>
  </si>
  <si>
    <t>neatly in dump area or for the formation of service road / embankment as directed etc.,</t>
  </si>
  <si>
    <r>
      <t xml:space="preserve">complete with initial </t>
    </r>
    <r>
      <rPr>
        <b/>
        <sz val="10"/>
        <rFont val="Tahoma"/>
        <family val="2"/>
      </rPr>
      <t>lead upto 1 km and all lifts.</t>
    </r>
  </si>
  <si>
    <t>DATA:</t>
  </si>
  <si>
    <t>Capacity of shovel bucket</t>
  </si>
  <si>
    <t>:</t>
  </si>
  <si>
    <t xml:space="preserve"> cum</t>
  </si>
  <si>
    <t>Capacity of shovel bucket under heaped condition</t>
  </si>
  <si>
    <t>Capacity of tipper</t>
  </si>
  <si>
    <t>Lead for disposal of excavated soil</t>
  </si>
  <si>
    <t xml:space="preserve">:Upto </t>
  </si>
  <si>
    <t>km</t>
  </si>
  <si>
    <t>Speed for loaded tipper under canal excavation condition</t>
  </si>
  <si>
    <t xml:space="preserve"> km / hr</t>
  </si>
  <si>
    <t>Speed for empty tipper under canal excavation condition</t>
  </si>
  <si>
    <t>Turning and unloading time</t>
  </si>
  <si>
    <t xml:space="preserve"> min</t>
  </si>
  <si>
    <t>Shovel digging and loading cycle per bucket</t>
  </si>
  <si>
    <t>sec</t>
  </si>
  <si>
    <t>In-situ quantity / bucket for 20 % bulkage on unloading ( 1 /1.20 )</t>
  </si>
  <si>
    <t>In-situ quantity per load for 20 % bulkage of soil ( 5 /1.2 )</t>
  </si>
  <si>
    <t>Number of buckets per load ( 4.16 / 0.83 )</t>
  </si>
  <si>
    <t>say :</t>
  </si>
  <si>
    <t xml:space="preserve"> buckets</t>
  </si>
  <si>
    <t>Corrected Quantity of in-situ soil per load ( 5 x 0.83 )</t>
  </si>
  <si>
    <t>Ideal cycle time for loading 5 buckets ( 5 x 20 / 60 )</t>
  </si>
  <si>
    <t>The ideal cycle time for shovel requires spotting of a tipper within 1.67 minutes near the shovel.</t>
  </si>
  <si>
    <t>However, in practice for canal excavation the space available may not permit positioning of the</t>
  </si>
  <si>
    <t>tippers on either side of the shovel. Generally, one tipper has to move after loading to position</t>
  </si>
  <si>
    <t>the next tipper for loading. Assuming one cycle time extra the corrected cycle time for the</t>
  </si>
  <si>
    <t>shovel will be 2.00 minutes.</t>
  </si>
  <si>
    <t>floor trip cycle time for tipper:</t>
  </si>
  <si>
    <t>Ideal cycle time of shovel for digging &amp; loading</t>
  </si>
  <si>
    <t>Time for ( av ) 0.75km haulage under load ( 0.75 x 60 / 15 )</t>
  </si>
  <si>
    <t>Time for turning and un-loading</t>
  </si>
  <si>
    <t>Time for average 0.75 km return trip ( 0.75 x 60 / 15 )</t>
  </si>
  <si>
    <t>Extra time for spotting</t>
  </si>
  <si>
    <t>Total time</t>
  </si>
  <si>
    <t>No. of tippers to match corrected cycle time of shovel ( 10.00/ 2.00 )</t>
  </si>
  <si>
    <t xml:space="preserve"> Nos</t>
  </si>
  <si>
    <t>Output of tipper / hr with 50 min working / hr ( 50 x 4.16 / 10.00 )</t>
  </si>
  <si>
    <t>Output for 5 tippers per day ( 5 x 20.80 x 8 )</t>
  </si>
  <si>
    <t>Further, assuming about 90 percent of excavation by deploying shovel and about 10 percent</t>
  </si>
  <si>
    <t>excavation mainly for trimming the canal to final profile by manual labour the daily output will</t>
  </si>
  <si>
    <t>be :</t>
  </si>
  <si>
    <t>Average output of 2 mazdoors assumed at 6 cum / day for trimming.</t>
  </si>
  <si>
    <t>Deploy 30 mazdoors for trimming 93 cum.</t>
  </si>
  <si>
    <t>Deploy one tipper for disposal of manually excavated soil.</t>
  </si>
  <si>
    <t>RATE ANALYSIS</t>
  </si>
  <si>
    <t>UNIT :</t>
  </si>
  <si>
    <t>A. MATERIALS:</t>
  </si>
  <si>
    <t>Sl No</t>
  </si>
  <si>
    <t>particulars</t>
  </si>
  <si>
    <t>Unit</t>
  </si>
  <si>
    <t>in Rs.</t>
  </si>
  <si>
    <t>NIL</t>
  </si>
  <si>
    <t>Total cost of Materials</t>
  </si>
  <si>
    <t>Rs:</t>
  </si>
  <si>
    <t>B. MACHINERY:</t>
  </si>
  <si>
    <t>Shovel 0.85 cum capacity</t>
  </si>
  <si>
    <t>Fuel / Energy charges</t>
  </si>
  <si>
    <t>Tippers 5 cum capacity 6 Nos</t>
  </si>
  <si>
    <t>Total hire charges of Machinery</t>
  </si>
  <si>
    <t>C. LABOUR:</t>
  </si>
  <si>
    <t>Crew for Shovel</t>
  </si>
  <si>
    <t>Crew for Tipper</t>
  </si>
  <si>
    <t>work inspector</t>
  </si>
  <si>
    <t>Day</t>
  </si>
  <si>
    <t>mazdoor</t>
  </si>
  <si>
    <t>Total cost of Labour</t>
  </si>
  <si>
    <t>labour component/unit qty</t>
  </si>
  <si>
    <t>ABSTRACT:</t>
  </si>
  <si>
    <t>A. Cost of Materials</t>
  </si>
  <si>
    <t>B. Hire charges of Machinery</t>
  </si>
  <si>
    <t>C. Cost of Labour</t>
  </si>
  <si>
    <t>(Add  MA if necessary))</t>
  </si>
  <si>
    <t xml:space="preserve">      Rs:</t>
  </si>
  <si>
    <t>Total cost for</t>
  </si>
  <si>
    <t>Rate per</t>
  </si>
  <si>
    <t>(A+B+C+D)/925</t>
  </si>
  <si>
    <t>SS Tank</t>
  </si>
  <si>
    <t>only consolidation for                              key trench</t>
  </si>
  <si>
    <t>IRR-CAW-4-1</t>
  </si>
  <si>
    <r>
      <t xml:space="preserve">Providing </t>
    </r>
    <r>
      <rPr>
        <b/>
        <sz val="10"/>
        <rFont val="Tahoma"/>
        <family val="2"/>
      </rPr>
      <t>impervious hearting</t>
    </r>
    <r>
      <rPr>
        <sz val="10"/>
        <rFont val="Tahoma"/>
        <family val="2"/>
      </rPr>
      <t xml:space="preserve"> embankment with soil collected in embankment area in</t>
    </r>
  </si>
  <si>
    <t>heaps as part of disposal of excavated soil from canal including cost of all materials,machinery,</t>
  </si>
  <si>
    <t>labour, all operations such as sortingout, spreading in layer of 25  cm before compaction,</t>
  </si>
  <si>
    <r>
      <t xml:space="preserve">breaking clods,sectioning, </t>
    </r>
    <r>
      <rPr>
        <b/>
        <sz val="10"/>
        <rFont val="Tahoma"/>
        <family val="2"/>
      </rPr>
      <t>watering</t>
    </r>
    <r>
      <rPr>
        <sz val="10"/>
        <rFont val="Tahoma"/>
        <family val="2"/>
      </rPr>
      <t xml:space="preserve"> and compacting each layer to </t>
    </r>
    <r>
      <rPr>
        <b/>
        <sz val="10"/>
        <rFont val="Tahoma"/>
        <family val="2"/>
      </rPr>
      <t>density control of not less</t>
    </r>
  </si>
  <si>
    <r>
      <t xml:space="preserve">than 98 percent </t>
    </r>
    <r>
      <rPr>
        <sz val="10"/>
        <rFont val="Tahoma"/>
        <family val="2"/>
      </rPr>
      <t>or as stipulated by sheep's foot / pad foot roller etc., complete with lead upto</t>
    </r>
  </si>
  <si>
    <t>1 km for water.</t>
  </si>
  <si>
    <t>Quantity of embankment considered</t>
  </si>
  <si>
    <t>Stripping of borrow area :</t>
  </si>
  <si>
    <t>No stripping of top soil involved as useful soil from excavation is collected.</t>
  </si>
  <si>
    <t>Collection of soil for embankment:</t>
  </si>
  <si>
    <t>Soil already collected in embankment area as part of disposal of excavated soil</t>
  </si>
  <si>
    <t>from canal excavation.</t>
  </si>
  <si>
    <t>Spreading soil in 25  cm layer:</t>
  </si>
  <si>
    <t>Quantity of loose soil to be spread ( 600 x 1.20 )</t>
  </si>
  <si>
    <t>Output of dozer for levelling per hour</t>
  </si>
  <si>
    <t>Time required for levelling 720 cum</t>
  </si>
  <si>
    <t>Watering;</t>
  </si>
  <si>
    <t>Generally soil from canal excavation will be in moist condition.In the beginning of the season no</t>
  </si>
  <si>
    <t>watering may be necessary and in summer months about 8 to 10 percent watering may be</t>
  </si>
  <si>
    <t>needed to maintain the soil moisture within OMC plus or minus 3 percent limit. Assuming</t>
  </si>
  <si>
    <t>seasonal average of 4 to 5 percent watering by weight, daily requirement of water for 600 cum</t>
  </si>
  <si>
    <t>of embankment will be about 5 tanker loads of 8000 ltrs each.</t>
  </si>
  <si>
    <t>Deploy 8000 ltr capacity water tanker for 5 hours daily for watering before rolling.</t>
  </si>
  <si>
    <t>Deploy 5 hp pump for 3 hours.</t>
  </si>
  <si>
    <t>Compaction:</t>
  </si>
  <si>
    <t>Soil collected for embankment layer gets compacted to some extent during levelling.</t>
  </si>
  <si>
    <t>Generally 10 to 12 passes of vibratory pad foot roller is adequate for achieving specified density</t>
  </si>
  <si>
    <t>control of 98 percent.</t>
  </si>
  <si>
    <t>Effective length of roller drum</t>
  </si>
  <si>
    <t>Speed of roller per hour</t>
  </si>
  <si>
    <t>Thickness of layer</t>
  </si>
  <si>
    <t>Number of roller passes to achieve specified density control</t>
  </si>
  <si>
    <t>Output of roller / hr with 50 min /hr working and 75 % effenciancy</t>
  </si>
  <si>
    <t>50 / 60 ( 1.9 x 4000 x 0.25 x 0.75 / 12 )</t>
  </si>
  <si>
    <t>Time for rolling 720 cum soil in embankment layer</t>
  </si>
  <si>
    <t>Sorting out/ sectioning/ labour for testing etc :</t>
  </si>
  <si>
    <t>Assume 4 mazdoors.</t>
  </si>
  <si>
    <t>Nill</t>
  </si>
  <si>
    <t>Seioniorage charges for soil</t>
  </si>
  <si>
    <t>Angle dozer 90 hp</t>
  </si>
  <si>
    <t>Pump 5 hp ( diesel )</t>
  </si>
  <si>
    <t>Water tanker 8000 ltr</t>
  </si>
  <si>
    <t>Vibratory pad foot roller 8 tonne</t>
  </si>
  <si>
    <t>Crew for Dozer</t>
  </si>
  <si>
    <t>Crew for Pump</t>
  </si>
  <si>
    <t>Crew for Water tanker</t>
  </si>
  <si>
    <t>Crew for Roller</t>
  </si>
  <si>
    <t xml:space="preserve"> mazdoor</t>
  </si>
  <si>
    <t xml:space="preserve">A. Cost of Materials including seignorage charges </t>
  </si>
  <si>
    <t>Total      Rs:</t>
  </si>
  <si>
    <t>(A+B+C+D)/600</t>
  </si>
  <si>
    <t>IRR-CAW-1-2</t>
  </si>
  <si>
    <r>
      <t xml:space="preserve">Excavation in </t>
    </r>
    <r>
      <rPr>
        <b/>
        <sz val="10"/>
        <rFont val="Tahoma"/>
        <family val="2"/>
      </rPr>
      <t>all kinds of soil</t>
    </r>
    <r>
      <rPr>
        <sz val="10"/>
        <rFont val="Tahoma"/>
        <family val="2"/>
      </rPr>
      <t xml:space="preserve"> including boulders </t>
    </r>
    <r>
      <rPr>
        <b/>
        <sz val="10"/>
        <rFont val="Tahoma"/>
        <family val="2"/>
      </rPr>
      <t>upto 0.30 m dia for field channels</t>
    </r>
    <r>
      <rPr>
        <sz val="10"/>
        <rFont val="Tahoma"/>
        <family val="2"/>
      </rPr>
      <t>, seating</t>
    </r>
  </si>
  <si>
    <t>EW for key trench &amp; Toe wall</t>
  </si>
  <si>
    <t>of embankment for field channels etc., including dressing of bed and sides to required profile,</t>
  </si>
  <si>
    <t>cost of all materials, machinery, labour, placing the excavated stuff for formation of service</t>
  </si>
  <si>
    <r>
      <t xml:space="preserve">road / embankment as directed etc., </t>
    </r>
    <r>
      <rPr>
        <b/>
        <sz val="10"/>
        <rFont val="Tahoma"/>
        <family val="2"/>
      </rPr>
      <t>complete with lead upto 10 m and lift upto 3 m.</t>
    </r>
  </si>
  <si>
    <t xml:space="preserve"> m</t>
  </si>
  <si>
    <t xml:space="preserve"> sec</t>
  </si>
  <si>
    <t>In-situ qty / bucket for 15 % bulkage of soil              ( 0.57 / 1.15 )</t>
  </si>
  <si>
    <t>Output of shovel with 50 min./ hr working                 ( 50 x 60 x 0.5 / 30 )</t>
  </si>
  <si>
    <t xml:space="preserve"> cum / hr</t>
  </si>
  <si>
    <t>Daily output of excavation                                       ( 8 x 50 )</t>
  </si>
  <si>
    <t>excavation mainly for trimming bed and sides of channels / trenches to final profile by manual</t>
  </si>
  <si>
    <t xml:space="preserve">labour, the daily output will be : </t>
  </si>
  <si>
    <t>Average output of 2 mazdoors assumed at 5 cum / day for trimming</t>
  </si>
  <si>
    <t>Shovel 0.50 cum capacity</t>
  </si>
  <si>
    <t>(A+B+C+D)/440</t>
  </si>
  <si>
    <t>Consolidation borrowed earth</t>
  </si>
  <si>
    <t>IRR-CAW-2-6</t>
  </si>
  <si>
    <r>
      <t xml:space="preserve">Providing </t>
    </r>
    <r>
      <rPr>
        <b/>
        <sz val="10"/>
        <rFont val="Tahoma"/>
        <family val="2"/>
      </rPr>
      <t>hearting / casing embankment</t>
    </r>
    <r>
      <rPr>
        <sz val="10"/>
        <rFont val="Tahoma"/>
        <family val="2"/>
      </rPr>
      <t xml:space="preserve"> with </t>
    </r>
    <r>
      <rPr>
        <b/>
        <sz val="10"/>
        <rFont val="Tahoma"/>
        <family val="2"/>
      </rPr>
      <t>homogeneous soil from approved borrow</t>
    </r>
  </si>
  <si>
    <t>areas in layers of 25 cm before compaction including cost of all materials, machinery,</t>
  </si>
  <si>
    <t>labour, all operations such as excavation, sorting out, transporting, spreading in layer of</t>
  </si>
  <si>
    <r>
      <t xml:space="preserve">specified thickness, breaking clods, sectioning, </t>
    </r>
    <r>
      <rPr>
        <b/>
        <sz val="10"/>
        <rFont val="Tahoma"/>
        <family val="2"/>
      </rPr>
      <t>watering</t>
    </r>
    <r>
      <rPr>
        <sz val="10"/>
        <rFont val="Tahoma"/>
        <family val="2"/>
      </rPr>
      <t xml:space="preserve">, compacting each layer to </t>
    </r>
    <r>
      <rPr>
        <b/>
        <sz val="10"/>
        <rFont val="Tahoma"/>
        <family val="2"/>
      </rPr>
      <t>density</t>
    </r>
  </si>
  <si>
    <r>
      <t>control of not less than 98 percent</t>
    </r>
    <r>
      <rPr>
        <sz val="10"/>
        <rFont val="Tahoma"/>
        <family val="2"/>
      </rPr>
      <t xml:space="preserve"> or as stipulated by sheep / pad foot roller etc., complete</t>
    </r>
  </si>
  <si>
    <r>
      <t xml:space="preserve">with initial </t>
    </r>
    <r>
      <rPr>
        <b/>
        <sz val="10"/>
        <rFont val="Tahoma"/>
        <family val="2"/>
      </rPr>
      <t>lead upto 1 km and all lifts.</t>
    </r>
  </si>
  <si>
    <t>Lead for conveyance of soil</t>
  </si>
  <si>
    <t xml:space="preserve"> km</t>
  </si>
  <si>
    <t>Speed for loaded tipper under haul road condition</t>
  </si>
  <si>
    <t>km / hr</t>
  </si>
  <si>
    <t>Speed for empty tipper under haul road condition</t>
  </si>
  <si>
    <t>In-situ qty / bucket for 15 % bulkage of soil ( 0.58 /1.15 )</t>
  </si>
  <si>
    <t>In-situ quantity per load for 20 % bulkage of soil ( 5.0 /1.2 )</t>
  </si>
  <si>
    <t>Number of buckets per load ( 4.00 / 0.50 )</t>
  </si>
  <si>
    <t>Cycle time for loading 8 buckets ( 8 x 20 / 60 )</t>
  </si>
  <si>
    <t>round trip cycle time for tipper:</t>
  </si>
  <si>
    <t>Time for turning and spotting</t>
  </si>
  <si>
    <t xml:space="preserve">No. of tippers to match corrected cycle time of shovel </t>
  </si>
  <si>
    <t>Generally borrow area is stripped once in a week for 6 days requirement of soil.</t>
  </si>
  <si>
    <t xml:space="preserve"> sqm</t>
  </si>
  <si>
    <t>Depth of stripping</t>
  </si>
  <si>
    <t>Output of dozer per hr with 50 min / hr working for stripping</t>
  </si>
  <si>
    <t xml:space="preserve"> hours</t>
  </si>
  <si>
    <t>Consider 6 hours including time for levelling stripped siol / shifting time.</t>
  </si>
  <si>
    <t>Requirement of dozer for one day work 705.6 cum</t>
  </si>
  <si>
    <t>say</t>
  </si>
  <si>
    <t>Deploy one 0.50 cum capacity shovel for 8 hours for digging and loading soil.</t>
  </si>
  <si>
    <t>Deploy 4 tippers of 5.00 cum capacity for 8 hours to convey soil to embankment area.</t>
  </si>
  <si>
    <t>Time required for levelling 812.74 cum</t>
  </si>
  <si>
    <t>Generally soil in the borrow area will be in moist condition. In the beginning of the season no</t>
  </si>
  <si>
    <t>seasonal average of 4 to 5 percent watering by weight, daily requirement of water for 677.28 cum</t>
  </si>
  <si>
    <t>of embankment will be about 6 tanker loads of 8000 ltrs each. Deploy 8000 ltr capacity water</t>
  </si>
  <si>
    <t>tanker for 6 hours daily for watering before rolling. Deploy 5 hp pump for 3 hours.</t>
  </si>
  <si>
    <t>50 / 60 ( 1.9 x 4000 x 0.25 x 0.75 /11 )</t>
  </si>
  <si>
    <t>Time for rolling 812.74 cum soil in embankment layer</t>
  </si>
  <si>
    <t>Angle dozer</t>
  </si>
  <si>
    <t>Tippers 5.00 cum capacity 6 Nos.</t>
  </si>
  <si>
    <t>A. Cost of Materials including seignorage charges</t>
  </si>
  <si>
    <t>(A+B+C+D)/D2204</t>
  </si>
  <si>
    <t>gravel top</t>
  </si>
  <si>
    <t>IRR-CCDW-7-3</t>
  </si>
  <si>
    <r>
      <t xml:space="preserve">Providing and </t>
    </r>
    <r>
      <rPr>
        <b/>
        <sz val="10"/>
        <rFont val="Arial"/>
        <family val="2"/>
      </rPr>
      <t>filling murum / gravely soil</t>
    </r>
    <r>
      <rPr>
        <sz val="10"/>
        <rFont val="Arial"/>
        <family val="2"/>
      </rPr>
      <t xml:space="preserve"> ( CNS soil ) </t>
    </r>
    <r>
      <rPr>
        <b/>
        <sz val="10"/>
        <rFont val="Arial"/>
        <family val="2"/>
      </rPr>
      <t>for foundation or above pipes</t>
    </r>
  </si>
  <si>
    <t>including breaking clods, spreading in layers of 10 to 15 cm, watering, compaction by power</t>
  </si>
  <si>
    <r>
      <t xml:space="preserve">roller to achieve </t>
    </r>
    <r>
      <rPr>
        <b/>
        <sz val="10"/>
        <rFont val="Arial"/>
        <family val="2"/>
      </rPr>
      <t>density control of not less than 98 percent</t>
    </r>
    <r>
      <rPr>
        <sz val="10"/>
        <rFont val="Arial"/>
        <family val="2"/>
      </rPr>
      <t xml:space="preserve"> etc., complete with </t>
    </r>
    <r>
      <rPr>
        <b/>
        <sz val="10"/>
        <rFont val="Arial"/>
        <family val="2"/>
      </rPr>
      <t>lead upto</t>
    </r>
  </si>
  <si>
    <t>50 m and all lifts.</t>
  </si>
  <si>
    <t>For foundation filling in large area and above pipes no rehandling of soil is considered.</t>
  </si>
  <si>
    <t>Output of 1 mazdoor for spreading &amp; levelling at site per day</t>
  </si>
  <si>
    <t>Output of 8-10 tonne road roller for compaction per hour</t>
  </si>
  <si>
    <t>cum/hour</t>
  </si>
  <si>
    <t>Cartman with double bullock cart for supplying water</t>
  </si>
  <si>
    <t>1mazdoor for watering at site.</t>
  </si>
  <si>
    <t>Particulars</t>
  </si>
  <si>
    <t>Murum</t>
  </si>
  <si>
    <t>Add seignorage charges on Soil @                    Rs:</t>
  </si>
  <si>
    <t>(Included in material rate)</t>
  </si>
  <si>
    <t>Diesel road roller 8-10 tonne</t>
  </si>
  <si>
    <t>Operator road roller</t>
  </si>
  <si>
    <t>Cartman with double bullock cart</t>
  </si>
  <si>
    <t>(A+B+C+D)/10.0</t>
  </si>
  <si>
    <t>Sand blanket</t>
  </si>
  <si>
    <t>IRR-CAW-5-3 A</t>
  </si>
  <si>
    <r>
      <t xml:space="preserve">Providing and </t>
    </r>
    <r>
      <rPr>
        <b/>
        <sz val="10"/>
        <rFont val="Tahoma"/>
        <family val="2"/>
      </rPr>
      <t>laying  sand blanket</t>
    </r>
    <r>
      <rPr>
        <sz val="10"/>
        <rFont val="Tahoma"/>
        <family val="2"/>
      </rPr>
      <t xml:space="preserve"> below embankment including cost of all</t>
    </r>
  </si>
  <si>
    <r>
      <t xml:space="preserve">materials, machinery, labour, spreading to specified thickness etc., complete with initial </t>
    </r>
    <r>
      <rPr>
        <b/>
        <sz val="10"/>
        <rFont val="Tahoma"/>
        <family val="2"/>
      </rPr>
      <t>lead</t>
    </r>
  </si>
  <si>
    <t>upto 50 m and all lifts.</t>
  </si>
  <si>
    <t>Consider 100 sqm sand blanket laying.</t>
  </si>
  <si>
    <t>Quantity of sand ( unscreened )</t>
  </si>
  <si>
    <t>Requirement of labour for spreading collected sand.</t>
  </si>
  <si>
    <t>2 mazdoors @ 10 cum / day.</t>
  </si>
  <si>
    <t>Sand ( unscreened )</t>
  </si>
  <si>
    <t>Seionorage charges for sand (included in the material rates)</t>
  </si>
  <si>
    <t>Nil</t>
  </si>
  <si>
    <t>(A+B+C+D)/100</t>
  </si>
  <si>
    <t>Rock toe</t>
  </si>
  <si>
    <t>IRR-CAW-5-4</t>
  </si>
  <si>
    <r>
      <t xml:space="preserve">Providing and constructing </t>
    </r>
    <r>
      <rPr>
        <b/>
        <sz val="10"/>
        <rFont val="Tahoma"/>
        <family val="2"/>
      </rPr>
      <t>dry rubble rock-toe using rubble and stone chips from</t>
    </r>
  </si>
  <si>
    <r>
      <t>approved source</t>
    </r>
    <r>
      <rPr>
        <sz val="10"/>
        <rFont val="Tahoma"/>
        <family val="2"/>
      </rPr>
      <t xml:space="preserve"> including cost of all materials, machinery, labour, hand packing rubble</t>
    </r>
  </si>
  <si>
    <r>
      <t xml:space="preserve">and stone chips, finishing top and sides to required slopes etc., complete with initial </t>
    </r>
    <r>
      <rPr>
        <b/>
        <sz val="10"/>
        <rFont val="Tahoma"/>
        <family val="2"/>
      </rPr>
      <t>lead upto</t>
    </r>
  </si>
  <si>
    <t>Top width</t>
  </si>
  <si>
    <t>Side slope upstream side</t>
  </si>
  <si>
    <t>1 (V) : 1 (H)</t>
  </si>
  <si>
    <t>Side slope down stream side</t>
  </si>
  <si>
    <t>1 (V) : 1.5 (H)</t>
  </si>
  <si>
    <t>Height</t>
  </si>
  <si>
    <t>Cross sectional area ( 0.00 + 2.50 ) x 1 / 2</t>
  </si>
  <si>
    <r>
      <t xml:space="preserve">Consider </t>
    </r>
    <r>
      <rPr>
        <b/>
        <sz val="10"/>
        <rFont val="Tahoma"/>
        <family val="2"/>
      </rPr>
      <t>100 cum</t>
    </r>
    <r>
      <rPr>
        <sz val="10"/>
        <rFont val="Tahoma"/>
        <family val="2"/>
      </rPr>
      <t xml:space="preserve"> rock toe:</t>
    </r>
  </si>
  <si>
    <t xml:space="preserve">Length of rock toe for 100 cum </t>
  </si>
  <si>
    <t>( 100 / 1.25 )</t>
  </si>
  <si>
    <t xml:space="preserve">Requirement of materials for 100 cum </t>
  </si>
  <si>
    <t xml:space="preserve">Rubble </t>
  </si>
  <si>
    <t xml:space="preserve">( 1.25 x 80 ) </t>
  </si>
  <si>
    <t xml:space="preserve">Stone chips @ 15 % of rubble </t>
  </si>
  <si>
    <t>( 100 x 0.15 )</t>
  </si>
  <si>
    <t xml:space="preserve">Surface finishing for D / S face </t>
  </si>
  <si>
    <t>( 1.80 x 80 )</t>
  </si>
  <si>
    <t>Requirement of labour :</t>
  </si>
  <si>
    <t>For conveying, spreading and packing :</t>
  </si>
  <si>
    <t>Rock-toe material can be spread partly by dumping the material directly at spot and partly by</t>
  </si>
  <si>
    <t>conveying manually. Assuming 50 % manual conveying.</t>
  </si>
  <si>
    <t>mazdoor for rubble</t>
  </si>
  <si>
    <t xml:space="preserve"> Nos.</t>
  </si>
  <si>
    <t>mazdoor for chips</t>
  </si>
  <si>
    <t>For packing and surface finishing.</t>
  </si>
  <si>
    <t>Mason Class-II</t>
  </si>
  <si>
    <t>Rubble</t>
  </si>
  <si>
    <t>Stone chips</t>
  </si>
  <si>
    <t>Seionorage charges for stone chips (included in the material rates)</t>
  </si>
  <si>
    <t>Seionorage charges for stone(included in the material rates)</t>
  </si>
  <si>
    <t xml:space="preserve">rock fill </t>
  </si>
  <si>
    <t>IRR-CAW-6-1</t>
  </si>
  <si>
    <r>
      <t xml:space="preserve">Providing and constructing </t>
    </r>
    <r>
      <rPr>
        <b/>
        <sz val="10"/>
        <rFont val="Tahoma"/>
        <family val="2"/>
      </rPr>
      <t>rockfill casing</t>
    </r>
    <r>
      <rPr>
        <sz val="10"/>
        <rFont val="Tahoma"/>
        <family val="2"/>
      </rPr>
      <t xml:space="preserve"> to canal embankment with graded stones and</t>
    </r>
  </si>
  <si>
    <r>
      <t xml:space="preserve">spalls from approved quarry including </t>
    </r>
    <r>
      <rPr>
        <sz val="10"/>
        <rFont val="Tahoma"/>
        <family val="2"/>
      </rPr>
      <t>cost of all materials, machinery, labour, spreading</t>
    </r>
  </si>
  <si>
    <t>stones and spalls in layers, hand packing, wedging, finishing surface to required slopes etc.,</t>
  </si>
  <si>
    <r>
      <t xml:space="preserve">complete with initial </t>
    </r>
    <r>
      <rPr>
        <b/>
        <sz val="10"/>
        <rFont val="Tahoma"/>
        <family val="2"/>
      </rPr>
      <t>lead upto 50 m and all lifts.</t>
    </r>
  </si>
  <si>
    <t>Consider 100 cum rockfill casing to canal embankment.</t>
  </si>
  <si>
    <t>Quantity of rubble stones from quarry</t>
  </si>
  <si>
    <t>Quantity of spalls from quarry</t>
  </si>
  <si>
    <t>Assume average 20 sqm surface finishing for 100 cum of rockfill.</t>
  </si>
  <si>
    <t>Consider 4 Mason Cl- II and 4 mazdoors for levelling &amp; packing rockfill.</t>
  </si>
  <si>
    <t>Consider 2 Mason Cl- II and 2 mazdoors for surface finishing to slope.</t>
  </si>
  <si>
    <t>Consider 2 mazdoors for supplying spalls and miscellaneous works.</t>
  </si>
  <si>
    <t>Rubble stones ( at quarry )</t>
  </si>
  <si>
    <t>Stone chips / spalls ( at quarry )</t>
  </si>
  <si>
    <t>Add for seignorage charges for rubble/spalls(included in the material cost)</t>
  </si>
  <si>
    <t>Mason Cl- II</t>
  </si>
  <si>
    <t>(A+B+C+D)/100.0</t>
  </si>
  <si>
    <t>Shahabad paneling</t>
  </si>
  <si>
    <t>IRR-CAW-7-26</t>
  </si>
  <si>
    <r>
      <t xml:space="preserve">Providing and </t>
    </r>
    <r>
      <rPr>
        <b/>
        <sz val="10"/>
        <rFont val="Tahoma"/>
        <family val="2"/>
      </rPr>
      <t>fixing 25 to 40 mm thick Shahabad / Talikota / other similar stone slabs</t>
    </r>
  </si>
  <si>
    <t>with pointing and finishing joints neatly in CM 1:3 proportion for canal / field channel lining</t>
  </si>
  <si>
    <t>including cutting slabs to required size, mixing mortar, finishing joints neatly, curing etc.,</t>
  </si>
  <si>
    <r>
      <t>complete with</t>
    </r>
    <r>
      <rPr>
        <b/>
        <sz val="10"/>
        <rFont val="Tahoma"/>
        <family val="2"/>
      </rPr>
      <t xml:space="preserve"> lead upto 50 m and all lifts.</t>
    </r>
  </si>
  <si>
    <t>Requirement of materials for 100 sqm slab lining in CM 1:3.</t>
  </si>
  <si>
    <t>Stone slabs with 5 percent allowance for breakage / wastage</t>
  </si>
  <si>
    <t>Cement mortar 1:3 propn for joints</t>
  </si>
  <si>
    <t xml:space="preserve">Cement </t>
  </si>
  <si>
    <t xml:space="preserve">Sand </t>
  </si>
  <si>
    <t>Requirement of labour for 100 sqm slab lining in CM 1:3.</t>
  </si>
  <si>
    <t>Preparing stone slabs for laying Mason Cl II</t>
  </si>
  <si>
    <t>Laying and jointing stone slabs Mason Cl I</t>
  </si>
  <si>
    <t>Conveying stone slabs mazdoor</t>
  </si>
  <si>
    <t>Assisting mason for laying stones mazdoor</t>
  </si>
  <si>
    <t>Cement mortar mixing &amp; conveying mazdoor</t>
  </si>
  <si>
    <t xml:space="preserve"> No.</t>
  </si>
  <si>
    <t>Cartman with Double bullock cart for conveying water</t>
  </si>
  <si>
    <t>Curing Mazdoor</t>
  </si>
  <si>
    <t>Shahabad Stone slabs</t>
  </si>
  <si>
    <t>Cement 43 Gr</t>
  </si>
  <si>
    <t>Sand ( screened )</t>
  </si>
  <si>
    <t>Add seignorage charges for Slabs ( included in the material cost)</t>
  </si>
  <si>
    <t>Add seignorage charges for sand ( included in the material cost)</t>
  </si>
  <si>
    <t>5 hp pump ( diesel )</t>
  </si>
  <si>
    <t>Operator pump</t>
  </si>
  <si>
    <t>Mason Class I</t>
  </si>
  <si>
    <t>Mason Class II</t>
  </si>
  <si>
    <t>Cartman with Bullock cart for water</t>
  </si>
  <si>
    <t>labour for cc paneling</t>
  </si>
  <si>
    <t>IRR-CAW-7-27</t>
  </si>
  <si>
    <r>
      <t>Fixing PCC slabs of various sizes in CM 1 : 3</t>
    </r>
    <r>
      <rPr>
        <sz val="10"/>
        <rFont val="Tahoma"/>
        <family val="2"/>
      </rPr>
      <t xml:space="preserve"> proportion to the side slopes of canal</t>
    </r>
  </si>
  <si>
    <t>including preparing bed, flush pointing joints in CM 1 : 3 propn, cost of all materials ( excluding</t>
  </si>
  <si>
    <r>
      <t xml:space="preserve">PCC slabs ), labour, finishing, curing etc., complete with initial </t>
    </r>
    <r>
      <rPr>
        <b/>
        <sz val="10"/>
        <rFont val="Tahoma"/>
        <family val="2"/>
      </rPr>
      <t>lead upto 50 m and all lifts.</t>
    </r>
  </si>
  <si>
    <t>Requirement of materials for laying 100 sqm slab lining in CM 1:3.</t>
  </si>
  <si>
    <t>(50mm thick)</t>
  </si>
  <si>
    <t>Laying and jointing PCC slabs Mason Cl I</t>
  </si>
  <si>
    <t>Conveying PCC slabs mazdoor</t>
  </si>
  <si>
    <t>Assisting mason for laying PCC slabs mazdoor</t>
  </si>
  <si>
    <t>Sand ( screened)</t>
  </si>
  <si>
    <t>of all materials and labour charges ,seign. charges etc.complete.per 10 Sq mt</t>
  </si>
  <si>
    <t>12mm HBG graded metal</t>
  </si>
  <si>
    <t>CC Planks</t>
  </si>
  <si>
    <t>metal including cost of 14 heavy gauge welded mesh with spacing of 3" on both directions</t>
  </si>
  <si>
    <t>including precasting, placing in position on inside slope of the bund and</t>
  </si>
  <si>
    <t xml:space="preserve">pointing with CM(1:3) 20 mm thick including cost and conveyance of all materials and </t>
  </si>
  <si>
    <r>
      <t xml:space="preserve">all labour charges etc complete per 10sqmts finished item of work per </t>
    </r>
    <r>
      <rPr>
        <b/>
        <sz val="10"/>
        <rFont val="Tahoma"/>
        <family val="2"/>
      </rPr>
      <t>10 Sq mt</t>
    </r>
  </si>
  <si>
    <t xml:space="preserve">Cost of CC (1:1.5:3) using 12mm </t>
  </si>
  <si>
    <t>1cum</t>
  </si>
  <si>
    <t>Each Plank</t>
  </si>
  <si>
    <t>cost of welded steel mesh(14 Heavy gauge with gaps every 3")</t>
  </si>
  <si>
    <t>3mm</t>
  </si>
  <si>
    <t>labour for fixing of RCC slabs</t>
  </si>
  <si>
    <t>130 gms</t>
  </si>
  <si>
    <t>grass tuffing</t>
  </si>
  <si>
    <t>IRR-CAW-8-15</t>
  </si>
  <si>
    <t>all materials ,labour,watering for minimum 15 days etc.,,complete.</t>
  </si>
  <si>
    <r>
      <t xml:space="preserve"> with initial lead upto 50 m and all lifts </t>
    </r>
    <r>
      <rPr>
        <sz val="10"/>
        <color indexed="10"/>
        <rFont val="Tahoma"/>
        <family val="2"/>
      </rPr>
      <t>( WITHOUT USING SAND)</t>
    </r>
  </si>
  <si>
    <t>Cartmen with double bullock cart</t>
  </si>
  <si>
    <t>mazdoors</t>
  </si>
  <si>
    <t>Unloading and laying Sods:</t>
  </si>
  <si>
    <t>Watering for 15 days:</t>
  </si>
  <si>
    <t>Mazdoors</t>
  </si>
  <si>
    <t>A. MATERIALS :</t>
  </si>
  <si>
    <t>Rate          in Rs</t>
  </si>
  <si>
    <t>Amount                in Rs</t>
  </si>
  <si>
    <t>Turfing Sods</t>
  </si>
  <si>
    <t>Total Cost of materials      Rs :</t>
  </si>
  <si>
    <t>B.MACHINERY  :</t>
  </si>
  <si>
    <t>Total hire charges of machinery                     Rs :</t>
  </si>
  <si>
    <t>C.LABOUR  :</t>
  </si>
  <si>
    <t>Mazdoor</t>
  </si>
  <si>
    <t>Cart men with double bullock cart</t>
  </si>
  <si>
    <t>Total cost of labour                                      Rs :</t>
  </si>
  <si>
    <t>ABSTRACT</t>
  </si>
  <si>
    <t>A.Cost of Materials including ryolty charges</t>
  </si>
  <si>
    <t xml:space="preserve"> Rs:</t>
  </si>
  <si>
    <t>C.Cost of Labour</t>
  </si>
  <si>
    <t xml:space="preserve">Total     </t>
  </si>
  <si>
    <t>Gravel -Backing</t>
  </si>
  <si>
    <t>IRR-CCDW-7-2</t>
  </si>
  <si>
    <t>including breaking clods, spreading in layers of 10 to 15 cm, watering, compaction by earth</t>
  </si>
  <si>
    <r>
      <t xml:space="preserve">masters to achieve </t>
    </r>
    <r>
      <rPr>
        <b/>
        <sz val="10"/>
        <rFont val="Arial"/>
        <family val="2"/>
      </rPr>
      <t>density control of not less than 95 percent</t>
    </r>
    <r>
      <rPr>
        <sz val="10"/>
        <rFont val="Arial"/>
        <family val="2"/>
      </rPr>
      <t xml:space="preserve"> etc., complete with </t>
    </r>
    <r>
      <rPr>
        <b/>
        <sz val="10"/>
        <rFont val="Arial"/>
        <family val="2"/>
      </rPr>
      <t>lead</t>
    </r>
  </si>
  <si>
    <t>For foundation filling in pits and afloor pipes requires collection and rehandling of soil.</t>
  </si>
  <si>
    <t>Output of 2 mazdoors for rehandling at site per day( loose)</t>
  </si>
  <si>
    <t>Output of 1 mazdoor for levelling &amp; compaction / day ( loose )</t>
  </si>
  <si>
    <t>1mazdoor for watering and miscellaneous works at site.</t>
  </si>
  <si>
    <r>
      <t xml:space="preserve">Drilling of 250 mm diameter </t>
    </r>
    <r>
      <rPr>
        <b/>
        <sz val="10"/>
        <rFont val="Arial"/>
        <family val="2"/>
      </rPr>
      <t>Singel Under Reamed piles</t>
    </r>
    <r>
      <rPr>
        <sz val="10"/>
        <rFont val="Arial"/>
        <family val="2"/>
      </rPr>
      <t xml:space="preserve"> for a depth of 1.80 mt with RCC(1:1.5;3) using 20 mm size HBG Metal using re1quired quantity of steel per 1 cum of concrete including cost and conveyance of all materials and all labour charges etc complete but excluding cost of steel and fabrication charges of steel per 1 No.</t>
    </r>
  </si>
  <si>
    <t>cost of RCC(1:1.5:3)</t>
  </si>
  <si>
    <t>1No</t>
  </si>
  <si>
    <r>
      <t xml:space="preserve">Cost, Supply and fixing of </t>
    </r>
    <r>
      <rPr>
        <b/>
        <sz val="10"/>
        <rFont val="Arial"/>
        <family val="2"/>
      </rPr>
      <t>hot dipped qalvanized iron chainlink mesh</t>
    </r>
    <r>
      <rPr>
        <sz val="10"/>
        <rFont val="Arial"/>
        <family val="2"/>
      </rPr>
      <t xml:space="preserve"> of size 50 mm X50mm(8 guage) from approved source including cost and conveyance of all materials and all labour charges etc complete</t>
    </r>
  </si>
  <si>
    <t>Sq mt</t>
  </si>
  <si>
    <t>cost of chain link mesh</t>
  </si>
  <si>
    <t>1 sq mt</t>
  </si>
  <si>
    <t>building ssr</t>
  </si>
  <si>
    <t xml:space="preserve">of all materials and labour charges ,seign. charges etc.complete for fencing posts of </t>
  </si>
  <si>
    <t>size 150mmX150mm at bottom and 100 mmX100 mm at top and length 2.40 mt per 1No.</t>
  </si>
  <si>
    <t>cost of VRCC(1:1.5:3)</t>
  </si>
  <si>
    <t>Labour charges for fixing of fencing posts</t>
  </si>
  <si>
    <t>1No.</t>
  </si>
  <si>
    <t>Asst Engineer</t>
  </si>
  <si>
    <t>RWS&amp;S Tadepalligudem</t>
  </si>
  <si>
    <t>Side wall thickness-2nd</t>
  </si>
  <si>
    <t>Side wall thickness-1st Step</t>
  </si>
  <si>
    <t>cc( 1:4:8)</t>
  </si>
  <si>
    <t>Length</t>
  </si>
  <si>
    <t>Breadth</t>
  </si>
  <si>
    <t>Municipal allowence</t>
  </si>
  <si>
    <t>Description of material</t>
  </si>
  <si>
    <t>Name of the Quarry</t>
  </si>
  <si>
    <t>lead (km)</t>
  </si>
  <si>
    <t>Stacking</t>
  </si>
  <si>
    <t>Blasting charges</t>
  </si>
  <si>
    <t>Machine crushing</t>
  </si>
  <si>
    <t>40mm size HBG (SS5)</t>
  </si>
  <si>
    <t>20mm size HBG metal</t>
  </si>
  <si>
    <t>RR Stone</t>
  </si>
  <si>
    <t>loading</t>
  </si>
  <si>
    <t>deduct</t>
  </si>
  <si>
    <t>Bond stone</t>
  </si>
  <si>
    <t>Sand for concrete items</t>
  </si>
  <si>
    <t>Sand for mortar</t>
  </si>
  <si>
    <t xml:space="preserve">Sand for filling </t>
  </si>
  <si>
    <t xml:space="preserve">Steel </t>
  </si>
  <si>
    <t>Steel I Beams</t>
  </si>
  <si>
    <t>6 mm size HBG metal</t>
  </si>
  <si>
    <t>12mm size HBG metal</t>
  </si>
  <si>
    <t>10mm size HBG metal</t>
  </si>
  <si>
    <t xml:space="preserve">uncoursed rubble stone </t>
  </si>
  <si>
    <t>loading deduct</t>
  </si>
  <si>
    <t>Gravel</t>
  </si>
  <si>
    <t>Shabad stone</t>
  </si>
  <si>
    <t>Present Pig Iron Cost as per BOC</t>
  </si>
  <si>
    <t>Present Coke Cost as per SSR</t>
  </si>
  <si>
    <t>This is to certify that the leads are correct to the best of my knowledge</t>
  </si>
  <si>
    <t>Inlet lpm</t>
  </si>
  <si>
    <t>Total Coulmn Ht</t>
  </si>
  <si>
    <t>Val Ch 0.90</t>
  </si>
  <si>
    <t>Valv Ch1.05</t>
  </si>
  <si>
    <t>Valv Ch1.50</t>
  </si>
  <si>
    <t>Total Area</t>
  </si>
  <si>
    <t>Central Opeing</t>
  </si>
  <si>
    <t>1/3 Area</t>
  </si>
  <si>
    <t>Stagging</t>
  </si>
  <si>
    <t>mt</t>
  </si>
  <si>
    <t>Raft Dia ( foundatio)</t>
  </si>
  <si>
    <t>Depth of foundation inclu raft</t>
  </si>
  <si>
    <t>Raft slab depth</t>
  </si>
  <si>
    <t>Shaft dia</t>
  </si>
  <si>
    <t>C/c</t>
  </si>
  <si>
    <t>Sahft thickness above GL</t>
  </si>
  <si>
    <t>Sahft thickness below GL</t>
  </si>
  <si>
    <t>Bottom dome Radius of curvature</t>
  </si>
  <si>
    <t>raise of the bottom dome</t>
  </si>
  <si>
    <t>Thickness of the bottom dome</t>
  </si>
  <si>
    <t>Tank Bottom ring beam</t>
  </si>
  <si>
    <t>Width</t>
  </si>
  <si>
    <t>Depth</t>
  </si>
  <si>
    <t>Conical side wall  Avg dia</t>
  </si>
  <si>
    <t>Conical side wall thickness</t>
  </si>
  <si>
    <t>Conical side wall length</t>
  </si>
  <si>
    <t>Conical side wall height</t>
  </si>
  <si>
    <t>Top Ring beam</t>
  </si>
  <si>
    <t>Radius of curvature</t>
  </si>
  <si>
    <t>Raise of the dome</t>
  </si>
  <si>
    <t>thickness of the dome</t>
  </si>
  <si>
    <t>Inner Shaft</t>
  </si>
  <si>
    <t>Shaft Length</t>
  </si>
  <si>
    <t>Flat portion</t>
  </si>
  <si>
    <t>Tank Capacity</t>
  </si>
  <si>
    <t>2 Mt pipe</t>
  </si>
  <si>
    <t>0.90 Mt pipe</t>
  </si>
  <si>
    <t>0.60 Mt pip</t>
  </si>
  <si>
    <t>Bell mouth</t>
  </si>
  <si>
    <t>CI Sp.Cost</t>
  </si>
  <si>
    <t>Slucivalve Cost</t>
  </si>
  <si>
    <t xml:space="preserve"> Name of the work:Contruction of           </t>
  </si>
  <si>
    <t>Lts capacity</t>
  </si>
  <si>
    <t>staging</t>
  </si>
  <si>
    <t>Rs</t>
  </si>
  <si>
    <t>Sand filling the basement including watering</t>
  </si>
  <si>
    <t xml:space="preserve">ramming etc., complete   </t>
  </si>
  <si>
    <t>foundation</t>
  </si>
  <si>
    <r>
      <t>M 30 grade concrete</t>
    </r>
    <r>
      <rPr>
        <sz val="10"/>
        <rFont val="Arial"/>
        <family val="2"/>
      </rPr>
      <t xml:space="preserve">  using 20 mm HBG metal</t>
    </r>
  </si>
  <si>
    <r>
      <t xml:space="preserve">complete for </t>
    </r>
    <r>
      <rPr>
        <b/>
        <sz val="10"/>
        <rFont val="Arial"/>
        <family val="2"/>
      </rPr>
      <t>raft</t>
    </r>
    <r>
      <rPr>
        <sz val="10"/>
        <rFont val="Arial"/>
        <family val="2"/>
      </rPr>
      <t xml:space="preserve"> excluding cost of steel</t>
    </r>
  </si>
  <si>
    <r>
      <t xml:space="preserve">M 30 grade concrete </t>
    </r>
    <r>
      <rPr>
        <sz val="10"/>
        <rFont val="Arial"/>
        <family val="2"/>
      </rPr>
      <t xml:space="preserve"> using 20 mm HBG metal</t>
    </r>
  </si>
  <si>
    <t>including cost,conveyance and  labour etc</t>
  </si>
  <si>
    <t>complete for shaft</t>
  </si>
  <si>
    <t>Below GL</t>
  </si>
  <si>
    <t>complete for ring beam over door</t>
  </si>
  <si>
    <t>and labour etc., complete for shaft</t>
  </si>
  <si>
    <t>deduct door</t>
  </si>
  <si>
    <r>
      <t xml:space="preserve"> for    </t>
    </r>
    <r>
      <rPr>
        <b/>
        <sz val="9"/>
        <rFont val="Arial"/>
        <family val="2"/>
      </rPr>
      <t xml:space="preserve">bottom </t>
    </r>
  </si>
  <si>
    <t>Dome</t>
  </si>
  <si>
    <t>Ring  beam</t>
  </si>
  <si>
    <t>cluding cost,conveyance and labour etc.</t>
  </si>
  <si>
    <r>
      <t xml:space="preserve">complete for </t>
    </r>
    <r>
      <rPr>
        <b/>
        <sz val="10"/>
        <rFont val="Arial"/>
        <family val="2"/>
      </rPr>
      <t>Conical</t>
    </r>
    <r>
      <rPr>
        <sz val="10"/>
        <rFont val="Arial"/>
        <family val="2"/>
      </rPr>
      <t xml:space="preserve"> </t>
    </r>
    <r>
      <rPr>
        <b/>
        <sz val="10"/>
        <rFont val="Arial"/>
        <family val="2"/>
      </rPr>
      <t>side wall</t>
    </r>
    <r>
      <rPr>
        <sz val="10"/>
        <rFont val="Arial"/>
        <family val="2"/>
      </rPr>
      <t xml:space="preserve"> excluding cost of</t>
    </r>
  </si>
  <si>
    <r>
      <t xml:space="preserve"> for    </t>
    </r>
    <r>
      <rPr>
        <b/>
        <sz val="9"/>
        <rFont val="Arial"/>
        <family val="2"/>
      </rPr>
      <t>top</t>
    </r>
    <r>
      <rPr>
        <b/>
        <sz val="9"/>
        <rFont val="Arial"/>
        <family val="2"/>
      </rPr>
      <t xml:space="preserve"> </t>
    </r>
  </si>
  <si>
    <r>
      <t xml:space="preserve"> for  </t>
    </r>
    <r>
      <rPr>
        <b/>
        <sz val="9"/>
        <rFont val="Arial"/>
        <family val="2"/>
      </rPr>
      <t xml:space="preserve"> inner</t>
    </r>
  </si>
  <si>
    <r>
      <t xml:space="preserve"> for    </t>
    </r>
    <r>
      <rPr>
        <b/>
        <sz val="9"/>
        <rFont val="Arial"/>
        <family val="2"/>
      </rPr>
      <t>top  Dome</t>
    </r>
  </si>
  <si>
    <t>Deduct manhole</t>
  </si>
  <si>
    <t>deduct phenial</t>
  </si>
  <si>
    <t xml:space="preserve">Accoproof Cement plastering with CM(1:3)  20 mm thick </t>
  </si>
  <si>
    <t>etc., complete for inside tank</t>
  </si>
  <si>
    <t>Top of BS</t>
  </si>
  <si>
    <t>Painting with Snowcem paint 2 coats over a primary coat including cost</t>
  </si>
  <si>
    <t>and conveyance of all materials and labour charges, etc., complete</t>
  </si>
  <si>
    <t>Outside shaft</t>
  </si>
  <si>
    <t>Bottom ring beam</t>
  </si>
  <si>
    <t>Top doome</t>
  </si>
  <si>
    <t>Top ring beam</t>
  </si>
  <si>
    <t>Phenial</t>
  </si>
  <si>
    <t>Landing Slab for Ladder</t>
  </si>
  <si>
    <t>0-5 mts</t>
  </si>
  <si>
    <t>3mts Ht</t>
  </si>
  <si>
    <t>5-8 mts</t>
  </si>
  <si>
    <t>6mts Ht</t>
  </si>
  <si>
    <t>8-11 mts</t>
  </si>
  <si>
    <t>9 Mt Ht</t>
  </si>
  <si>
    <t>11-14 mts</t>
  </si>
  <si>
    <t>12Mt Ht</t>
  </si>
  <si>
    <t>14-17mts</t>
  </si>
  <si>
    <t>15mt Ht</t>
  </si>
  <si>
    <t>17-20mts</t>
  </si>
  <si>
    <t>18mt Ht</t>
  </si>
  <si>
    <t>20-23mts</t>
  </si>
  <si>
    <t>21mt Ht</t>
  </si>
  <si>
    <t>23-26mts</t>
  </si>
  <si>
    <t>23mt Ht</t>
  </si>
  <si>
    <t>26-29mts</t>
  </si>
  <si>
    <t>27mt Ht</t>
  </si>
  <si>
    <t>Provision towards cost of steel and fabrication</t>
  </si>
  <si>
    <t>complete</t>
  </si>
  <si>
    <t>350 chambers 2 nos and 80-1 No</t>
  </si>
  <si>
    <t xml:space="preserve">CI specials, valves </t>
  </si>
  <si>
    <t>Vertical connections fixing including bolts nuts, rubber packing</t>
  </si>
  <si>
    <t>Lightning arrester</t>
  </si>
  <si>
    <t>Spiral Staircase</t>
  </si>
  <si>
    <t>Water level indicater</t>
  </si>
  <si>
    <t>Provision for Name Board</t>
  </si>
  <si>
    <t>Provision for ladder inside the shaft FL to Top Door</t>
  </si>
  <si>
    <t>Railing all around  Top slab</t>
  </si>
  <si>
    <t>Lader inside the shaft</t>
  </si>
  <si>
    <t>MS Doors at Floor Level and LWL Level</t>
  </si>
  <si>
    <t>Phinaial &amp; Fly  proof ventilator</t>
  </si>
  <si>
    <t>Manhole cover with frames-2nos</t>
  </si>
  <si>
    <t>Unfoseen items</t>
  </si>
  <si>
    <t>Phouse side wall thickness</t>
  </si>
  <si>
    <t>Bed level</t>
  </si>
  <si>
    <t>1st Step-From Bottom</t>
  </si>
  <si>
    <t>below</t>
  </si>
  <si>
    <t>2nd Step</t>
  </si>
  <si>
    <t>above</t>
  </si>
  <si>
    <t>Above Bed level</t>
  </si>
  <si>
    <t>3rd Step</t>
  </si>
  <si>
    <t>4th Step</t>
  </si>
  <si>
    <t>5th Step Top</t>
  </si>
  <si>
    <t>Ring beam</t>
  </si>
  <si>
    <t>Collection Well</t>
  </si>
  <si>
    <t>: M 20</t>
  </si>
  <si>
    <t>Only Well</t>
  </si>
  <si>
    <t>Deatiled cum abstract estimate</t>
  </si>
  <si>
    <t>Name of work:Construction of the Collection Well Cum Pump House</t>
  </si>
  <si>
    <r>
      <t>M 30 grade concrete using 20 mm HBG metal including cost and conveyance of all the materials,but excluding the cost of the steel etc complete for</t>
    </r>
    <r>
      <rPr>
        <b/>
        <sz val="10"/>
        <rFont val="Tahoma"/>
        <family val="2"/>
      </rPr>
      <t xml:space="preserve"> Ring beam</t>
    </r>
  </si>
  <si>
    <t>Rect portion</t>
  </si>
  <si>
    <r>
      <t>M 30 grade concrete using 20 mm HBG metal including cost and conveyance of all the materials,but excluding the cost of the steel etc complete for</t>
    </r>
    <r>
      <rPr>
        <b/>
        <sz val="10"/>
        <rFont val="Tahoma"/>
        <family val="2"/>
      </rPr>
      <t xml:space="preserve"> Side walls</t>
    </r>
  </si>
  <si>
    <t>1st step(Bal)</t>
  </si>
  <si>
    <t>Above Bed Level</t>
  </si>
  <si>
    <t>2nd step(Bal)</t>
  </si>
  <si>
    <t>3rd step(Bal)</t>
  </si>
  <si>
    <t>4th step(Bal)</t>
  </si>
  <si>
    <t>Supply and fixing of the ISMB Girders and fabriction ect complete ect</t>
  </si>
  <si>
    <t>2-Angel-100x100x</t>
  </si>
  <si>
    <t>MS Plate</t>
  </si>
  <si>
    <r>
      <t>M 30 grade concrete using 20 mm HBG metal including cost and conveyance of all the materials,but excluding the cost of the steel etc complete for</t>
    </r>
    <r>
      <rPr>
        <b/>
        <sz val="10"/>
        <rFont val="Tahoma"/>
        <family val="2"/>
      </rPr>
      <t xml:space="preserve"> Pump House Side walls</t>
    </r>
  </si>
  <si>
    <t>Net</t>
  </si>
  <si>
    <t>Balance Height</t>
  </si>
  <si>
    <t>Inside</t>
  </si>
  <si>
    <t>Out side</t>
  </si>
  <si>
    <r>
      <t>Accoproof plastering</t>
    </r>
    <r>
      <rPr>
        <sz val="10"/>
        <rFont val="Tahoma"/>
        <family val="2"/>
      </rPr>
      <t xml:space="preserve"> with CM(1:3),20mm thick including cost and conveyance of all the materials ect complete.</t>
    </r>
  </si>
  <si>
    <t>Floor Slab</t>
  </si>
  <si>
    <t>as per Plastering item</t>
  </si>
  <si>
    <t>Supply and fixing of the MS Door of Size 1.05 X 2.00m With angular frame including fixtures including csot and conveyance of the all the materials , labour charges ect complete.</t>
  </si>
  <si>
    <t>Supply and fixing of the MS Door of Size 0.90 X 1.20 m With angular frame including fixtures including csot and conveyance of the all the materials , labour charges ect complete.</t>
  </si>
  <si>
    <t>For door</t>
  </si>
  <si>
    <t>For Windows</t>
  </si>
  <si>
    <t xml:space="preserve">For sinking portion </t>
  </si>
  <si>
    <t>Manhole covers</t>
  </si>
  <si>
    <t>Coulmns No</t>
  </si>
  <si>
    <t>Brace No</t>
  </si>
  <si>
    <t>Brace length</t>
  </si>
  <si>
    <t>Coulmn size</t>
  </si>
  <si>
    <t>Brace size</t>
  </si>
  <si>
    <t>Foundation below G.L</t>
  </si>
  <si>
    <t>Raft beam size/Dia</t>
  </si>
  <si>
    <t>25% added</t>
  </si>
  <si>
    <t>Raft slab dia and width</t>
  </si>
  <si>
    <t>G.L Coulmn ht</t>
  </si>
  <si>
    <t>Next coulmn ht</t>
  </si>
  <si>
    <t>H</t>
  </si>
  <si>
    <t>Bottom slab thickness/Dia</t>
  </si>
  <si>
    <t>Rng girder height</t>
  </si>
  <si>
    <t>capacity</t>
  </si>
  <si>
    <t>Side wall Ht&amp; Thick&amp;Dia</t>
  </si>
  <si>
    <t>Topslab thick &amp; dia</t>
  </si>
  <si>
    <t>Top slab ring girder wd/ht</t>
  </si>
  <si>
    <t xml:space="preserve">Detailed estimate cum abstract estimate </t>
  </si>
  <si>
    <t>Wind speed=200 KMPH</t>
  </si>
  <si>
    <r>
      <t>M 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bottom raft</t>
    </r>
  </si>
  <si>
    <r>
      <t>M 30 grade concrete</t>
    </r>
    <r>
      <rPr>
        <sz val="10"/>
        <rFont val="Tahoma"/>
        <family val="2"/>
      </rPr>
      <t xml:space="preserve"> using 20 mm HBG metal including cost and conveyance of all the materials,but excluding the cost of the steel etc complete for</t>
    </r>
    <r>
      <rPr>
        <b/>
        <sz val="10"/>
        <rFont val="Tahoma"/>
        <family val="2"/>
      </rPr>
      <t xml:space="preserve"> Ring beam</t>
    </r>
  </si>
  <si>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Column</t>
    </r>
  </si>
  <si>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Braces</t>
    </r>
  </si>
  <si>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Ring Girder</t>
    </r>
  </si>
  <si>
    <t>Top Girder</t>
  </si>
  <si>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Bottom Doome</t>
    </r>
  </si>
  <si>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Side Walls</t>
    </r>
  </si>
  <si>
    <t>Haunches</t>
  </si>
  <si>
    <t>p 1/2</t>
  </si>
  <si>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Top Doome</t>
    </r>
  </si>
  <si>
    <r>
      <t xml:space="preserve">M 30 grade concrete </t>
    </r>
    <r>
      <rPr>
        <sz val="10"/>
        <rFont val="Tahoma"/>
        <family val="2"/>
      </rPr>
      <t>using 20 mm HBG metal including cost and conveyance of all the materials,but excluding the cost of the steel etc complete for</t>
    </r>
    <r>
      <rPr>
        <b/>
        <sz val="10"/>
        <rFont val="Tahoma"/>
        <family val="2"/>
      </rPr>
      <t xml:space="preserve"> Top Cantilever</t>
    </r>
  </si>
  <si>
    <t>Side walls out side</t>
  </si>
  <si>
    <t>Ring girder</t>
  </si>
  <si>
    <t>Coulmns</t>
  </si>
  <si>
    <t>Braces</t>
  </si>
  <si>
    <t>Cantilever</t>
  </si>
  <si>
    <t>Topring beam</t>
  </si>
  <si>
    <t>RCC ladder in side the tank   2 Nos</t>
  </si>
  <si>
    <t>CI specials fixing charges</t>
  </si>
  <si>
    <t>Painting of name board</t>
  </si>
  <si>
    <t>painting to hand railing</t>
  </si>
  <si>
    <t>Phinaial &amp; Mosquito  proof ventilator</t>
  </si>
  <si>
    <t xml:space="preserve">Manhole cover </t>
  </si>
  <si>
    <t>CI conections</t>
  </si>
  <si>
    <t>CI Sluice valves</t>
  </si>
  <si>
    <t>Rate per Lt =</t>
  </si>
  <si>
    <t>Note:- SBC taken as 10 T/ sqmt</t>
  </si>
  <si>
    <t>Valves 50% add</t>
  </si>
  <si>
    <t>Inlet</t>
  </si>
  <si>
    <t>Oulet</t>
  </si>
  <si>
    <t>Tail Piece</t>
  </si>
  <si>
    <t>upto 350mm dia DI Wafer Butterfly valves and</t>
  </si>
  <si>
    <t>above 350mm dia DI D/F Butterfly valves</t>
  </si>
  <si>
    <t>Butterfly valves Cost DI</t>
  </si>
  <si>
    <r>
      <t xml:space="preserve">plastering with CM(1:3) 2 coats of Weather proof emulsion painting for external surfaces, and 3 coats of epoxy paint to inner surface of the reservoir including roof dome, lettering as per Dept Direction, S/Fof  the CI D/F Pipes verticals, vlaves, Execution as per Design and drawigns supplied by the Dept., including the cost and conveyance of the all materials , Bends , Specials Etc complete including the following.- </t>
    </r>
    <r>
      <rPr>
        <b/>
        <u/>
        <sz val="10"/>
        <color indexed="12"/>
        <rFont val="Tahoma"/>
        <family val="2"/>
      </rPr>
      <t>M30 Grade Concrete</t>
    </r>
  </si>
  <si>
    <t>b)D.I man hole covers with frame of size 0.60 X 0.60 mts -2 Nos (light duty)</t>
  </si>
  <si>
    <t>c) DI Swan Neck  ventilators shall be provided in Top dome/slab with  flyproof mesh</t>
  </si>
  <si>
    <t>d)RCC  Phinial with copper or Stainless stell flyproof mesh</t>
  </si>
  <si>
    <t xml:space="preserve">e)RCC or Aluminium ladder inside  of 0.60 mts width </t>
  </si>
  <si>
    <t>f)RCC spiral stair case with  handrailing upto 200kl</t>
  </si>
  <si>
    <t>for above 200kl capacity Doglegged staircase with flight width of 1mt and landing of 1.2mts and SS Handrailing upto 1mt Thedogleggedstaircaseshallbeenclosedwithbrick/CRSwallonthreesidesandfrontsidewithM.Scollapsiblegateupto1stbracelevel from ground level to prevent unauthorized entry.</t>
  </si>
  <si>
    <t>g)Waterlevel indicator of good quality with ebonite/copper float approved pattern - 1 No.</t>
  </si>
  <si>
    <t xml:space="preserve">h)Lightening arrestor of approved pattern 1 No complete including conductor earthing </t>
  </si>
  <si>
    <t>J) Railling with Stainless Steel of grade 304 in two rows around OHSR fixed in RCC (1:2:4) of post of size 100x75x75mm with 1.5m m itervals around the pheriphary on top of OHSR</t>
  </si>
  <si>
    <t>G) Cost of CI Specials</t>
  </si>
  <si>
    <t xml:space="preserve">H) Cost of D.I Butter fly valves </t>
  </si>
  <si>
    <t>Don’t delete</t>
  </si>
  <si>
    <t>For valve chambers refer valves VC 80 etc</t>
  </si>
  <si>
    <t>For isolated works @ 50% extra</t>
  </si>
  <si>
    <t>HYDRAULIC DESIGN CALICULATIONS</t>
  </si>
  <si>
    <t xml:space="preserve">No.of habitations                                                        </t>
  </si>
  <si>
    <t>::</t>
  </si>
  <si>
    <t xml:space="preserve">Per capita clear water demand        </t>
  </si>
  <si>
    <t>LPCD</t>
  </si>
  <si>
    <t xml:space="preserve">Per capita raw water demand        </t>
  </si>
  <si>
    <t xml:space="preserve">Prospective clear water demand per day </t>
  </si>
  <si>
    <t>Litres</t>
  </si>
  <si>
    <t>Prospective Raw water demand per day</t>
  </si>
  <si>
    <t xml:space="preserve">Prospective clear water demand                 </t>
  </si>
  <si>
    <t>with 55 lpcd</t>
  </si>
  <si>
    <t>Prospective Raw water demand</t>
  </si>
  <si>
    <t xml:space="preserve">Ultimate clear water demand per day                  </t>
  </si>
  <si>
    <t>Ultimate Raw water demand per day</t>
  </si>
  <si>
    <t xml:space="preserve">Ultimate clear water demand            </t>
  </si>
  <si>
    <t xml:space="preserve">Ultimate Raw water demand </t>
  </si>
  <si>
    <t xml:space="preserve">Source                                                                             </t>
  </si>
  <si>
    <t xml:space="preserve">considering 15 minutes storage capacity </t>
  </si>
  <si>
    <t>Intake well ultimate demand with 80 LPCD</t>
  </si>
  <si>
    <t xml:space="preserve">Required capacity of intakewell </t>
  </si>
  <si>
    <t>Required capacity of intakewell</t>
  </si>
  <si>
    <t>1 no of intake well of 10.00 mts dia and 4.00 m depth below bed level proposed</t>
  </si>
  <si>
    <t>GLBR on hillock ( Raw Water)</t>
  </si>
  <si>
    <t xml:space="preserve">Prospective Papulation </t>
  </si>
  <si>
    <t>Total prospective clear water demand</t>
  </si>
  <si>
    <t>Required  capacity  of  reservoir  ( 30 min.)</t>
  </si>
  <si>
    <t>Provide  700 KL capacitiy GLBR</t>
  </si>
  <si>
    <t xml:space="preserve">Rapid Sand Filters at Head works </t>
  </si>
  <si>
    <t xml:space="preserve">Prospective  demand per day </t>
  </si>
  <si>
    <t>lts</t>
  </si>
  <si>
    <t>Capacity of filter</t>
  </si>
  <si>
    <t xml:space="preserve">Provide 17.00 MLD Rapid sand filters </t>
  </si>
  <si>
    <t>Clear Water sump at Headworks</t>
  </si>
  <si>
    <t xml:space="preserve">Clear water demand </t>
  </si>
  <si>
    <t>Assume 2 1/2 hours capacity</t>
  </si>
  <si>
    <t xml:space="preserve">Capacity of sump required  </t>
  </si>
  <si>
    <t xml:space="preserve">Provide 1400 kl capacity Clear water Sump </t>
  </si>
  <si>
    <t>\</t>
  </si>
  <si>
    <t>Provide  300 KL capacitiy OHBR</t>
  </si>
  <si>
    <t xml:space="preserve"> Pump sets</t>
  </si>
  <si>
    <t>From Collection well to RSF (Raw water at 80 lpcd)</t>
  </si>
  <si>
    <t xml:space="preserve">Prospective population </t>
  </si>
  <si>
    <t xml:space="preserve">Prospective Raw water demand </t>
  </si>
  <si>
    <t>Length of pipe line</t>
  </si>
  <si>
    <t>Km</t>
  </si>
  <si>
    <t>MWL @ RSF</t>
  </si>
  <si>
    <t>FVL @ Collection well</t>
  </si>
  <si>
    <t>Friction losses</t>
  </si>
  <si>
    <t>Add:station losses</t>
  </si>
  <si>
    <t>mts.</t>
  </si>
  <si>
    <t>H.P. required</t>
  </si>
  <si>
    <t>HP</t>
  </si>
  <si>
    <t>Provide 3 nos of</t>
  </si>
  <si>
    <t>VT pump sets one being stand-by.</t>
  </si>
  <si>
    <t xml:space="preserve">From HW Sump to HW  OHBR </t>
  </si>
  <si>
    <t xml:space="preserve">Prospective clear water demand </t>
  </si>
  <si>
    <t>MWL @ OHBR</t>
  </si>
  <si>
    <t>FVL @ Sump</t>
  </si>
  <si>
    <t>HSC pump sets one being stand-by.</t>
  </si>
  <si>
    <t>CPWS Scheme to                                                                    district.</t>
  </si>
  <si>
    <t>Intake well at                             Reservoir</t>
  </si>
  <si>
    <t>OHBR   at  Headworks</t>
  </si>
  <si>
    <t>Sump Dome Type</t>
  </si>
  <si>
    <t>Sub-estimate</t>
  </si>
  <si>
    <t>Construction of  0.90mx0.75mx1.05m Size valve chamber</t>
  </si>
  <si>
    <t>for Pipes of Dia Upto 80mm dia</t>
  </si>
  <si>
    <t xml:space="preserve">Description </t>
  </si>
  <si>
    <t>Earth work excavation and depositing on bank with an initial lead of 50m and lift of 3.0m in all types of soils except hard rock requiring blasting for founadtion</t>
  </si>
  <si>
    <t>CC(1:4:8) Using 40mm HBG metal including cost and conveyance of all materials,labour charges etc., complete for foundation.</t>
  </si>
  <si>
    <t>RCC(1:1.5:3) using 20mm HBG metal including cost and conveyance of all materilas,labour charges and centering etc., complete but excluding cost of steel and its fabrication.</t>
  </si>
  <si>
    <t>a) For Bottom raft</t>
  </si>
  <si>
    <t>b) For Side walls allround</t>
  </si>
  <si>
    <t>c) For Pre cast top slab(100mm thick)</t>
  </si>
  <si>
    <t xml:space="preserve">Cost and supply of Steel including fabrication charges </t>
  </si>
  <si>
    <t>For Isolated works 50% extra</t>
  </si>
  <si>
    <t>Total Amount per Each Chamber</t>
  </si>
  <si>
    <t>for OHSRs, OHBRs</t>
  </si>
  <si>
    <t>Construction of  0.9mx0.90mx1.40m Size RCC Valve Chambers</t>
  </si>
  <si>
    <t>for Pipe lines of Dia Up more than 80mm and upto 200mm</t>
  </si>
  <si>
    <t>SL No.</t>
  </si>
  <si>
    <t>Earth work excavation and depositing on bank with an initial lead of 10m and lift of 2.0m in all types of soils except hard rock requiring blasting for founadtion</t>
  </si>
  <si>
    <t>Cost and supply of Steel including fabrication charges</t>
  </si>
  <si>
    <t>Construction of  1.05mx1.20mx1.70m Size RCC Valve Chambers</t>
  </si>
  <si>
    <t>of Pipe line dia above 200mm and upto 400mm</t>
  </si>
  <si>
    <t>Cost and supply of Steel</t>
  </si>
  <si>
    <t>Construction of  1.20mx1.20mx2.10m Size RCC Valve Chambers</t>
  </si>
  <si>
    <t>of Pipe line Dia above 400mm and upto 500mm</t>
  </si>
  <si>
    <t xml:space="preserve">For Isolated works 50% extra </t>
  </si>
  <si>
    <t>Total Amount per Each Chamber incl.VAT at 4%</t>
  </si>
  <si>
    <t xml:space="preserve">Construction of RCC valve Chamber of Size (1.70mx1.20mx2.10m) </t>
  </si>
  <si>
    <t>of Pipe line Dia above 500mm and upto 700mm</t>
  </si>
  <si>
    <t>SL No</t>
  </si>
  <si>
    <t>Description of Item</t>
  </si>
  <si>
    <t>Amount Rs.</t>
  </si>
  <si>
    <t>Earth work Excavation in Ordinary,Hard gravelly and disintegrated rock for a lead of 10m and lift of 2m for chamber</t>
  </si>
  <si>
    <t>PCC (1:4:8) using 40mm HG metal including cost and conveyance of all materials and labour charges etc complete  for leveling course ov chamber bottom</t>
  </si>
  <si>
    <t>RCC(1:1.5:3) nominal mix using 20mm HBG metal including cost and conveyance of all materials  and labour charges etc., complete for Bottm slab of Chamber</t>
  </si>
  <si>
    <t>RCC(1:1.5:3) nominal mix using 20mm HBG metal including cost and conveyance of all materials  and labour charges etc., complete for side wall of Chamber</t>
  </si>
  <si>
    <t>RCC(1:1.5:3) nominal mix using 20mm HBG metal including cost and conveyance of all materials  and labour charges etc., complete for pre cast  top slab of Chamber</t>
  </si>
  <si>
    <t>Suply and fabrication of charges steel</t>
  </si>
  <si>
    <t xml:space="preserve">Extra for Isolation of Work at 50% </t>
  </si>
  <si>
    <t>Const. of RCC valve Chamber of Size (3.00mx2.00mx2.50m)</t>
  </si>
  <si>
    <t>above 700mm up to 1000mm dia pipe line</t>
  </si>
  <si>
    <t>x</t>
  </si>
  <si>
    <t xml:space="preserve">RCC(1:2:4) nominal mix using 20mm HBG metal including cost and conveyance of all materials  and labour charges etc., complete </t>
  </si>
  <si>
    <t>for Bottm slab of Chamber</t>
  </si>
  <si>
    <t>b)</t>
  </si>
  <si>
    <t>for side wall of Chamber</t>
  </si>
  <si>
    <t>c)</t>
  </si>
  <si>
    <t>pre cast  top slab of Chamber</t>
  </si>
  <si>
    <t>Supply and fabrication charges of steel</t>
  </si>
  <si>
    <t xml:space="preserve">Extra for Isolation of Work at 50%  </t>
  </si>
  <si>
    <t>Circular chambers</t>
  </si>
  <si>
    <t>interpolation</t>
  </si>
  <si>
    <t>Angulars &amp; I Beams</t>
  </si>
  <si>
    <t>G) Cost of HDPE Pipes Vericals(63mm-10Kg/sqcm))</t>
  </si>
  <si>
    <t xml:space="preserve">H) Cost of D.I valves </t>
  </si>
  <si>
    <r>
      <rPr>
        <b/>
        <sz val="10"/>
        <rFont val="Tahoma"/>
        <family val="2"/>
      </rPr>
      <t>Impervous coat with Plastering in CM(1:3) prop 12mm thick</t>
    </r>
    <r>
      <rPr>
        <sz val="10"/>
        <rFont val="Tahoma"/>
        <family val="2"/>
      </rPr>
      <t xml:space="preserve"> including cost&amp;coveyance of all </t>
    </r>
  </si>
  <si>
    <r>
      <rPr>
        <b/>
        <sz val="10"/>
        <rFont val="Tahoma"/>
        <family val="2"/>
      </rPr>
      <t>Flooring with CM(1:3) prop 20  mm thick</t>
    </r>
    <r>
      <rPr>
        <sz val="10"/>
        <rFont val="Tahoma"/>
        <family val="2"/>
      </rPr>
      <t xml:space="preserve"> over bed of 100 mm thick,CC (1:4:8) prop</t>
    </r>
  </si>
  <si>
    <r>
      <t xml:space="preserve">VRCC (1:1.5:3) using 20mm HBG metal including cost and conveyance of all material, labour charges, centering etc., complete but excluding cost of steel and its fabrication charges for </t>
    </r>
    <r>
      <rPr>
        <b/>
        <sz val="10"/>
        <rFont val="Tahoma"/>
        <family val="2"/>
      </rPr>
      <t>ring beam -Gfloor Level Works</t>
    </r>
  </si>
  <si>
    <r>
      <t>RCC (1:1.5:3) using 20mm HBG metal</t>
    </r>
    <r>
      <rPr>
        <sz val="10"/>
        <rFont val="Tahoma"/>
        <family val="2"/>
      </rPr>
      <t xml:space="preserve"> including cost and conveyance of all material, labour charges, centering etc., complete but excluding cost of steel and its fabrication charges for </t>
    </r>
    <r>
      <rPr>
        <b/>
        <sz val="10"/>
        <rFont val="Tahoma"/>
        <family val="2"/>
      </rPr>
      <t>Columns</t>
    </r>
  </si>
  <si>
    <r>
      <t xml:space="preserve">VRCC (1:1.5:3) using 20mm HBG metal including cost and conveyance of all material, labour charges, centering etc., complete but excluding cost of steel and its fabrication charges for </t>
    </r>
    <r>
      <rPr>
        <b/>
        <sz val="10"/>
        <rFont val="Tahoma"/>
        <family val="2"/>
      </rPr>
      <t xml:space="preserve">ring beam </t>
    </r>
  </si>
  <si>
    <r>
      <t>Providing and</t>
    </r>
    <r>
      <rPr>
        <b/>
        <sz val="10"/>
        <rFont val="Arial"/>
        <family val="2"/>
      </rPr>
      <t xml:space="preserve"> filling murrum / gravely soil </t>
    </r>
    <r>
      <rPr>
        <sz val="10"/>
        <rFont val="Arial"/>
        <family val="2"/>
      </rPr>
      <t>( CNS soil ) for foundation or afloor pipes</t>
    </r>
  </si>
  <si>
    <r>
      <t xml:space="preserve">Providing 10 cm Thick approved type </t>
    </r>
    <r>
      <rPr>
        <b/>
        <sz val="10"/>
        <rFont val="Tahoma"/>
        <family val="2"/>
      </rPr>
      <t>grass turfing</t>
    </r>
    <r>
      <rPr>
        <sz val="10"/>
        <rFont val="Tahoma"/>
        <family val="2"/>
      </rPr>
      <t xml:space="preserve"> to the side slopes of canal including cost of   </t>
    </r>
  </si>
  <si>
    <r>
      <t>CC(1:1.5.3) panaling with 500 X500X 50mm size</t>
    </r>
    <r>
      <rPr>
        <sz val="10"/>
        <rFont val="Tahoma"/>
        <family val="2"/>
      </rPr>
      <t xml:space="preserve">  using 12 mm HBG </t>
    </r>
  </si>
  <si>
    <r>
      <rPr>
        <b/>
        <sz val="10"/>
        <rFont val="Tahoma"/>
        <family val="2"/>
      </rPr>
      <t>Cement concrete(1:1.5:3)</t>
    </r>
    <r>
      <rPr>
        <sz val="10"/>
        <rFont val="Tahoma"/>
        <family val="2"/>
      </rPr>
      <t xml:space="preserve"> prop using 20mm gauge HG metal including cost and conveyance</t>
    </r>
  </si>
  <si>
    <t>(water proofing compound) as per buildings ssr</t>
  </si>
  <si>
    <t>Bed blocks</t>
  </si>
  <si>
    <t xml:space="preserve">Lintels </t>
  </si>
  <si>
    <t>Pedestrals</t>
  </si>
  <si>
    <t xml:space="preserve">Labour charges </t>
  </si>
  <si>
    <t>(3.64*295/10)</t>
  </si>
  <si>
    <t>(4.68*295/10)</t>
  </si>
  <si>
    <t>(6.24*295/10)</t>
  </si>
  <si>
    <t>Head with losses</t>
  </si>
  <si>
    <r>
      <t xml:space="preserve">Cement concrete (1:2.5:5)prop using 40 mm,0.050mm,10mm gauge HG metal including cost &amp;conveyance etc., complete </t>
    </r>
    <r>
      <rPr>
        <b/>
        <sz val="10"/>
        <rFont val="Tahoma"/>
        <family val="2"/>
      </rPr>
      <t>Templates/Guidewalls</t>
    </r>
  </si>
  <si>
    <r>
      <rPr>
        <b/>
        <sz val="10"/>
        <rFont val="Tahoma"/>
        <family val="2"/>
      </rPr>
      <t>Gravel backing</t>
    </r>
    <r>
      <rPr>
        <sz val="10"/>
        <rFont val="Tahoma"/>
        <family val="2"/>
      </rPr>
      <t xml:space="preserve"> for inside Bund Side slopes  including  cost and conveyance of all the materials  achive density not less than 95% ect complete.</t>
    </r>
  </si>
  <si>
    <r>
      <t>Consolidation</t>
    </r>
    <r>
      <rPr>
        <sz val="10"/>
        <rFont val="Tahoma"/>
        <family val="2"/>
      </rPr>
      <t xml:space="preserve"> of the Top bund portion with </t>
    </r>
    <r>
      <rPr>
        <b/>
        <sz val="10"/>
        <rFont val="Tahoma"/>
        <family val="2"/>
      </rPr>
      <t>gravel</t>
    </r>
    <r>
      <rPr>
        <sz val="10"/>
        <rFont val="Tahoma"/>
        <family val="2"/>
      </rPr>
      <t xml:space="preserve"> by 8-10T power roller to procter density including watering with an initial lead of 2 hectometres barricading etc.Complete (150mm thick)</t>
    </r>
  </si>
  <si>
    <r>
      <t>Drilling of 250 mm diameter</t>
    </r>
    <r>
      <rPr>
        <b/>
        <sz val="10"/>
        <rFont val="Arial"/>
        <family val="2"/>
      </rPr>
      <t xml:space="preserve"> Double Under Reamed piles</t>
    </r>
    <r>
      <rPr>
        <sz val="10"/>
        <rFont val="Arial"/>
        <family val="2"/>
      </rPr>
      <t xml:space="preserve"> for a depth of 3.50 mt with RCC(1:1.5;3) using 20 mm size HBG Metal using required quantity of steel per 1 cum of concrete including cost and conveyance of all materials and all labour charges etc complete but excluding cost of steel and fabrication charges of steel per 1 No.</t>
    </r>
  </si>
  <si>
    <t>2 sides given</t>
  </si>
  <si>
    <t>Overheads &amp; cp</t>
  </si>
  <si>
    <t>labour component/unit qty (including Overheads &amp; cp)</t>
  </si>
  <si>
    <t>Add Overheads &amp; cp and overhead charges</t>
  </si>
  <si>
    <t>D. Add for Overheads &amp; cp  on (A+B+C)</t>
  </si>
  <si>
    <t>D. Add for Overheads &amp; cp on (A+B+C)</t>
  </si>
  <si>
    <t>Add 14% Overheads &amp; CP on mesh</t>
  </si>
  <si>
    <t>J) Add Overheads and C.P</t>
  </si>
  <si>
    <t>Add Overheads &amp; C.P on CI Specials &amp; Valves</t>
  </si>
  <si>
    <t>Overheads &amp; C.Profit</t>
  </si>
  <si>
    <t>OHBR (M30 Design Mix)</t>
  </si>
  <si>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OHBR Ring Beam</t>
    </r>
  </si>
  <si>
    <r>
      <t xml:space="preserve">M 30 Grade concrete  using 20 mm HBG metal including cost,conveyance and labour etc.. Complete for </t>
    </r>
    <r>
      <rPr>
        <b/>
        <sz val="10"/>
        <rFont val="Tahoma"/>
        <family val="2"/>
      </rPr>
      <t>Columns</t>
    </r>
  </si>
  <si>
    <r>
      <t xml:space="preserve">M 30 grade concrete  using 20 mm HBG metal including cost,conveyance and labour etc.. Complete for </t>
    </r>
    <r>
      <rPr>
        <b/>
        <sz val="10"/>
        <rFont val="Tahoma"/>
        <family val="2"/>
      </rPr>
      <t>Braces</t>
    </r>
  </si>
  <si>
    <r>
      <t xml:space="preserve">M 30 Grade concrete  using 20 mm HBG metal including cost,conveyance and labour etc.. Complete for </t>
    </r>
    <r>
      <rPr>
        <b/>
        <sz val="10"/>
        <rFont val="Tahoma"/>
        <family val="2"/>
      </rPr>
      <t>Tank  bottom ring beam</t>
    </r>
  </si>
  <si>
    <r>
      <t xml:space="preserve">M 30 Grade concrete  using 20 mm HBG metal including cost,conveyance and labour etc.. Complete for </t>
    </r>
    <r>
      <rPr>
        <b/>
        <sz val="10"/>
        <rFont val="Tahoma"/>
        <family val="2"/>
      </rPr>
      <t>Tank ring beam</t>
    </r>
  </si>
  <si>
    <r>
      <t xml:space="preserve">M 30 Grade concrete  using 20 mm HBG metal including cost,conveyance and labour etc.. Complete for </t>
    </r>
    <r>
      <rPr>
        <b/>
        <sz val="10"/>
        <rFont val="Tahoma"/>
        <family val="2"/>
      </rPr>
      <t>Side Wall</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</si>
  <si>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OHBR Top slab Dome</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</si>
  <si>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OHBR bottom Dome</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</si>
  <si>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shaft side wall</t>
    </r>
  </si>
  <si>
    <r>
      <t xml:space="preserve">M 30 grade concrete  using 20 mm HBG metal including cost,conveyance and labour etc.. Complete for </t>
    </r>
    <r>
      <rPr>
        <b/>
        <sz val="10"/>
        <rFont val="Tahoma"/>
        <family val="2"/>
      </rPr>
      <t>Tank ring beam</t>
    </r>
  </si>
  <si>
    <r>
      <t xml:space="preserve">M 30 grade concrete  using 20 mm HBG metal including cost,conveyance and labour etc.. Complete for </t>
    </r>
    <r>
      <rPr>
        <b/>
        <sz val="10"/>
        <rFont val="Tahoma"/>
        <family val="2"/>
      </rPr>
      <t>Tank bottom slab</t>
    </r>
  </si>
  <si>
    <r>
      <t xml:space="preserve">M 30 grade concrete  using 20 mm HBG metal including cost,conveyance and labour etc.. Complete for </t>
    </r>
    <r>
      <rPr>
        <b/>
        <sz val="10"/>
        <rFont val="Tahoma"/>
        <family val="2"/>
      </rPr>
      <t>Tank Top slab</t>
    </r>
  </si>
  <si>
    <r>
      <t xml:space="preserve">M 30 grade concrete  using 20 mm HBG metal including cost,conveyance and labour etc.. Complete for </t>
    </r>
    <r>
      <rPr>
        <b/>
        <sz val="10"/>
        <rFont val="Tahoma"/>
        <family val="2"/>
      </rPr>
      <t>Conical Side Wall</t>
    </r>
  </si>
  <si>
    <r>
      <t>M 30 grade concrete  using 20 mm HBG metal including cost,conveyance and labour etc.. Complete for</t>
    </r>
    <r>
      <rPr>
        <b/>
        <sz val="10"/>
        <rFont val="Tahoma"/>
        <family val="2"/>
      </rPr>
      <t xml:space="preserve"> inner shaft side Wall</t>
    </r>
  </si>
  <si>
    <r>
      <t>M 30 grade concrete  using 20 mm HBG metal including cost,conveyance and labour etc.. Complete for</t>
    </r>
    <r>
      <rPr>
        <b/>
        <sz val="10"/>
        <rFont val="Tahoma"/>
        <family val="2"/>
      </rPr>
      <t xml:space="preserve"> inner shaft Flat slab</t>
    </r>
  </si>
  <si>
    <r>
      <t xml:space="preserve">M 30 grade concrete  using 20 mm HBG metal including cost,conveyance and labour etc.. Complete for </t>
    </r>
    <r>
      <rPr>
        <b/>
        <sz val="10"/>
        <rFont val="Tahoma"/>
        <family val="2"/>
      </rPr>
      <t>Tank top dome</t>
    </r>
  </si>
  <si>
    <r>
      <t>M 30 grade concrete  using 20 mm HBG metal including cost,conveyance and labour etc.. Complete for</t>
    </r>
    <r>
      <rPr>
        <b/>
        <sz val="10"/>
        <rFont val="Tahoma"/>
        <family val="2"/>
      </rPr>
      <t xml:space="preserve"> Landing slab</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</si>
  <si>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Column(Circular)</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</si>
  <si>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steps treads-50mm thick</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</si>
  <si>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steps Risers-50mm thick</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</si>
  <si>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Tie Brace</t>
    </r>
  </si>
  <si>
    <r>
      <t>M 30 grade concrete using 20mm HBG metal</t>
    </r>
    <r>
      <rPr>
        <sz val="10"/>
        <rFont val="Tahoma"/>
        <family val="2"/>
      </rPr>
      <t xml:space="preserve"> including cost and conveyance of all material, labour charges, centering etc., complete but excluding cost of steel and its fabrication charges </t>
    </r>
    <r>
      <rPr>
        <b/>
        <sz val="10"/>
        <color indexed="10"/>
        <rFont val="Tahoma"/>
        <family val="2"/>
      </rPr>
      <t>for Top flat slab</t>
    </r>
  </si>
  <si>
    <t>Column type</t>
  </si>
  <si>
    <t>Overheads &amp; cp @13.615%</t>
  </si>
  <si>
    <t>Add Overheads &amp; cp @13.615%</t>
  </si>
  <si>
    <t>with 13.615% Overheads</t>
  </si>
  <si>
    <t>Add Overheads &amp; CP</t>
  </si>
  <si>
    <t xml:space="preserve"> seignorage/1.13615</t>
  </si>
  <si>
    <t>CPWS SCHEME TO                                                                                                       DISTRICT</t>
  </si>
  <si>
    <t>PHSSR</t>
  </si>
  <si>
    <t>Slab up to 150mm</t>
  </si>
  <si>
    <t>Lead statement</t>
  </si>
  <si>
    <t>Datas-SSR -2015-16</t>
  </si>
  <si>
    <t>rural</t>
  </si>
  <si>
    <t>Seignorage charges Earth</t>
  </si>
  <si>
    <t>As per SSR 2015-16</t>
  </si>
  <si>
    <t>COMMON SSR 2015-16</t>
  </si>
  <si>
    <t>Conveyance-Excluding 13.615%</t>
  </si>
  <si>
    <t>Rolling Shutters80x1.25mm</t>
  </si>
  <si>
    <t>old one</t>
  </si>
  <si>
    <t>Graded Metal (  40mm to 20mm)</t>
  </si>
  <si>
    <t>Total population as per 2011 census</t>
  </si>
  <si>
    <t xml:space="preserve">Population as per 2011census                             </t>
  </si>
  <si>
    <t xml:space="preserve">Population in the year of commissioning (2017)   </t>
  </si>
  <si>
    <t xml:space="preserve">Prospective population (2027)                                                                       </t>
  </si>
  <si>
    <t xml:space="preserve">Ultimate population ( 2037)                                   </t>
  </si>
  <si>
    <t>Population as per 2011 census</t>
  </si>
  <si>
    <t>WHEN EXCAVATED SOILS USED</t>
  </si>
  <si>
    <t xml:space="preserve"> The components of the filtration plant are as per SSR 2015-16</t>
  </si>
  <si>
    <t>2*1682</t>
  </si>
  <si>
    <t>Ananthapuramu</t>
  </si>
  <si>
    <t>Cement (Ananthapuramu district)</t>
  </si>
  <si>
    <t>ssr</t>
  </si>
  <si>
    <t xml:space="preserve">Hence, Provide 40 KL BPT with 15mts staging </t>
  </si>
  <si>
    <t xml:space="preserve">Hence, Provide 60 KL BPT with 15mts staging </t>
  </si>
  <si>
    <t xml:space="preserve">Hence, Provide 60 KL OHBR with 30 mts staging </t>
  </si>
  <si>
    <t>Intermediate sumps for 240 min</t>
  </si>
  <si>
    <t>deduct loading</t>
  </si>
  <si>
    <t>Bld SSR-31-S.No.478</t>
  </si>
  <si>
    <t>domes</t>
  </si>
  <si>
    <t>Column above 3.66mt</t>
  </si>
  <si>
    <t>2nd floor</t>
  </si>
  <si>
    <t xml:space="preserve">3 times </t>
  </si>
  <si>
    <t>.61 m</t>
  </si>
  <si>
    <t>upto 5.49m</t>
  </si>
  <si>
    <t>Columns above 3.66 m</t>
  </si>
  <si>
    <t>multiple</t>
  </si>
  <si>
    <t>Calculation of Centering &amp; Scaffolding charges for every  0.61mts height at the rate of 16.666%</t>
  </si>
  <si>
    <t>per 1m lift</t>
  </si>
  <si>
    <t>centering &amp; scaffolding</t>
  </si>
  <si>
    <t>2016-17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</si>
</sst>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00"/>
    <numFmt numFmtId="165" formatCode="0.0"/>
    <numFmt numFmtId="166" formatCode="[$रु-439]\ #,##0"/>
    <numFmt numFmtId="167" formatCode="[$रु-439]\ #,##0.00_);\([$रु-439]\ #,##0.00\)"/>
    <numFmt numFmtId="168" formatCode="0_)"/>
    <numFmt numFmtId="169" formatCode="0.0000"/>
    <numFmt numFmtId="170" formatCode="0.0_)"/>
    <numFmt numFmtId="171" formatCode="0.00_)"/>
    <numFmt numFmtId="172" formatCode="[$ALL]\ #,##0.00"/>
    <numFmt numFmtId="173" formatCode="[$रु-439]\ #,##0.00"/>
    <numFmt numFmtId="174" formatCode="0.00;[Red]0.00"/>
    <numFmt numFmtId="175" formatCode="0.000;[Red]0.000"/>
    <numFmt numFmtId="176" formatCode="[$रु-439]\ #,##0;[Red][$रु-439]\ #,##0"/>
    <numFmt numFmtId="177" formatCode="0.000%"/>
  </numFmts>
  <fonts count="157" x14ac:knownFonts="1">
    <font>
      <sz val="11"/>
      <color theme="1"/>
      <name val="Calibri"/>
      <family val="2"/>
      <scheme val="minor"/>
    </font>
    <font>
      <sz val="11"/>
      <color theme="1"/>
      <name val="Calibri"/>
      <family val="2"/>
      <scheme val="minor"/>
    </font>
    <font>
      <b/>
      <sz val="10"/>
      <name val="Tahoma"/>
      <family val="2"/>
    </font>
    <font>
      <sz val="10"/>
      <name val="Tahoma"/>
      <family val="2"/>
    </font>
    <font>
      <sz val="10"/>
      <color indexed="10"/>
      <name val="Tahoma"/>
      <family val="2"/>
    </font>
    <font>
      <b/>
      <sz val="8"/>
      <name val="Arial"/>
      <family val="2"/>
    </font>
    <font>
      <b/>
      <sz val="8"/>
      <color indexed="10"/>
      <name val="Arial"/>
      <family val="2"/>
    </font>
    <font>
      <b/>
      <sz val="12"/>
      <color indexed="10"/>
      <name val="Arial"/>
      <family val="2"/>
    </font>
    <font>
      <sz val="8"/>
      <name val="Arial"/>
      <family val="2"/>
    </font>
    <font>
      <b/>
      <sz val="10"/>
      <name val="Arial"/>
      <family val="2"/>
    </font>
    <font>
      <sz val="10"/>
      <color indexed="9"/>
      <name val="Arial"/>
      <family val="2"/>
    </font>
    <font>
      <sz val="9"/>
      <name val="Arial"/>
      <family val="2"/>
    </font>
    <font>
      <sz val="10"/>
      <color indexed="14"/>
      <name val="Arial"/>
      <family val="2"/>
    </font>
    <font>
      <sz val="10"/>
      <name val="Arial"/>
      <family val="2"/>
    </font>
    <font>
      <b/>
      <sz val="10"/>
      <color indexed="10"/>
      <name val="Arial"/>
      <family val="2"/>
    </font>
    <font>
      <b/>
      <sz val="9"/>
      <name val="Arial"/>
      <family val="2"/>
    </font>
    <font>
      <sz val="10"/>
      <color theme="0"/>
      <name val="Tahoma"/>
      <family val="2"/>
    </font>
    <font>
      <b/>
      <sz val="10"/>
      <color theme="0"/>
      <name val="Tahoma"/>
      <family val="2"/>
    </font>
    <font>
      <sz val="10"/>
      <color indexed="20"/>
      <name val="Arial"/>
      <family val="2"/>
    </font>
    <font>
      <sz val="10"/>
      <color indexed="10"/>
      <name val="Arial"/>
      <family val="2"/>
    </font>
    <font>
      <b/>
      <sz val="10"/>
      <color indexed="14"/>
      <name val="Arial"/>
      <family val="2"/>
    </font>
    <font>
      <b/>
      <sz val="10"/>
      <color indexed="12"/>
      <name val="Arial"/>
      <family val="2"/>
    </font>
    <font>
      <b/>
      <sz val="10"/>
      <name val="Arial Narrow"/>
      <family val="2"/>
    </font>
    <font>
      <sz val="10"/>
      <color indexed="12"/>
      <name val="Arial"/>
      <family val="2"/>
    </font>
    <font>
      <sz val="10"/>
      <color indexed="16"/>
      <name val="Arial"/>
      <family val="2"/>
    </font>
    <font>
      <b/>
      <sz val="10"/>
      <color rgb="FF00B0F0"/>
      <name val="Arial Narrow"/>
      <family val="2"/>
    </font>
    <font>
      <sz val="10"/>
      <color indexed="8"/>
      <name val="Arial"/>
      <family val="2"/>
    </font>
    <font>
      <b/>
      <sz val="10"/>
      <color indexed="61"/>
      <name val="Arial"/>
      <family val="2"/>
    </font>
    <font>
      <b/>
      <sz val="11"/>
      <name val="Arial"/>
      <family val="2"/>
    </font>
    <font>
      <sz val="11"/>
      <name val="Arial"/>
      <family val="2"/>
    </font>
    <font>
      <sz val="10"/>
      <color indexed="53"/>
      <name val="Arial"/>
      <family val="2"/>
    </font>
    <font>
      <b/>
      <u/>
      <sz val="9"/>
      <name val="Arial"/>
      <family val="2"/>
    </font>
    <font>
      <b/>
      <sz val="9"/>
      <name val="Tahoma"/>
      <family val="2"/>
    </font>
    <font>
      <b/>
      <sz val="8"/>
      <name val="Tahoma"/>
      <family val="2"/>
    </font>
    <font>
      <sz val="8"/>
      <name val="Tahoma"/>
      <family val="2"/>
    </font>
    <font>
      <sz val="10"/>
      <name val="Symbol"/>
      <family val="1"/>
      <charset val="2"/>
    </font>
    <font>
      <b/>
      <u/>
      <sz val="10"/>
      <name val="Arial"/>
      <family val="2"/>
    </font>
    <font>
      <sz val="10"/>
      <color indexed="37"/>
      <name val="Arial"/>
      <family val="2"/>
    </font>
    <font>
      <sz val="8"/>
      <color indexed="10"/>
      <name val="Arial"/>
      <family val="2"/>
    </font>
    <font>
      <sz val="11"/>
      <name val="Tahoma"/>
      <family val="2"/>
    </font>
    <font>
      <b/>
      <sz val="10"/>
      <color indexed="37"/>
      <name val="Arial"/>
      <family val="2"/>
    </font>
    <font>
      <sz val="8"/>
      <color indexed="14"/>
      <name val="Arial"/>
      <family val="2"/>
    </font>
    <font>
      <sz val="10"/>
      <color indexed="36"/>
      <name val="Arial"/>
      <family val="2"/>
    </font>
    <font>
      <b/>
      <sz val="8"/>
      <color indexed="37"/>
      <name val="Arial"/>
      <family val="2"/>
    </font>
    <font>
      <vertAlign val="superscript"/>
      <sz val="9"/>
      <name val="Arial"/>
      <family val="2"/>
    </font>
    <font>
      <sz val="8"/>
      <color indexed="37"/>
      <name val="Arial"/>
      <family val="2"/>
    </font>
    <font>
      <sz val="9"/>
      <name val="Tahoma"/>
      <family val="2"/>
    </font>
    <font>
      <b/>
      <sz val="12"/>
      <name val="Tahoma"/>
      <family val="2"/>
    </font>
    <font>
      <b/>
      <u/>
      <sz val="12"/>
      <name val="Tahoma"/>
      <family val="2"/>
    </font>
    <font>
      <sz val="10"/>
      <color indexed="14"/>
      <name val="Tahoma"/>
      <family val="2"/>
    </font>
    <font>
      <b/>
      <sz val="8"/>
      <color indexed="14"/>
      <name val="Tahoma"/>
      <family val="2"/>
    </font>
    <font>
      <b/>
      <sz val="9"/>
      <color indexed="10"/>
      <name val="Tahoma"/>
      <family val="2"/>
    </font>
    <font>
      <sz val="8"/>
      <color indexed="12"/>
      <name val="Tahoma"/>
      <family val="2"/>
    </font>
    <font>
      <sz val="10"/>
      <color indexed="12"/>
      <name val="Tahoma"/>
      <family val="2"/>
    </font>
    <font>
      <b/>
      <sz val="8"/>
      <color indexed="12"/>
      <name val="Tahoma"/>
      <family val="2"/>
    </font>
    <font>
      <b/>
      <sz val="8"/>
      <color indexed="10"/>
      <name val="Tahoma"/>
      <family val="2"/>
    </font>
    <font>
      <sz val="10"/>
      <color indexed="17"/>
      <name val="Tahoma"/>
      <family val="2"/>
    </font>
    <font>
      <b/>
      <u/>
      <sz val="8"/>
      <name val="Tahoma"/>
      <family val="2"/>
    </font>
    <font>
      <b/>
      <sz val="12"/>
      <name val="Arial"/>
      <family val="2"/>
    </font>
    <font>
      <sz val="10"/>
      <name val="Felix Titling"/>
      <family val="5"/>
    </font>
    <font>
      <b/>
      <u/>
      <sz val="12"/>
      <name val="Arial"/>
      <family val="2"/>
    </font>
    <font>
      <b/>
      <u/>
      <sz val="8"/>
      <name val="Arial"/>
      <family val="2"/>
    </font>
    <font>
      <b/>
      <sz val="11"/>
      <name val="Tahoma"/>
      <family val="2"/>
    </font>
    <font>
      <vertAlign val="superscript"/>
      <sz val="10"/>
      <name val="Tahoma"/>
      <family val="2"/>
    </font>
    <font>
      <sz val="10"/>
      <name val="Comic Sans MS"/>
      <family val="4"/>
    </font>
    <font>
      <b/>
      <sz val="10"/>
      <name val="Comic Sans MS"/>
      <family val="4"/>
    </font>
    <font>
      <b/>
      <sz val="9"/>
      <name val="Comic Sans MS"/>
      <family val="4"/>
    </font>
    <font>
      <b/>
      <sz val="8"/>
      <color indexed="37"/>
      <name val="Comic Sans MS"/>
      <family val="4"/>
    </font>
    <font>
      <sz val="8"/>
      <name val="Comic Sans MS"/>
      <family val="4"/>
    </font>
    <font>
      <b/>
      <sz val="11"/>
      <name val="Comic Sans MS"/>
      <family val="4"/>
    </font>
    <font>
      <sz val="12"/>
      <name val="Comic Sans MS"/>
      <family val="4"/>
    </font>
    <font>
      <sz val="14"/>
      <name val="Comic Sans MS"/>
      <family val="4"/>
    </font>
    <font>
      <sz val="9"/>
      <name val="Comic Sans MS"/>
      <family val="4"/>
    </font>
    <font>
      <vertAlign val="subscript"/>
      <sz val="9"/>
      <name val="Arial"/>
      <family val="2"/>
    </font>
    <font>
      <vertAlign val="subscript"/>
      <sz val="10"/>
      <name val="Arial"/>
      <family val="2"/>
    </font>
    <font>
      <b/>
      <sz val="11"/>
      <color indexed="9"/>
      <name val="Arial"/>
      <family val="2"/>
    </font>
    <font>
      <b/>
      <sz val="10"/>
      <color indexed="10"/>
      <name val="Tahoma"/>
      <family val="2"/>
    </font>
    <font>
      <sz val="8"/>
      <color indexed="10"/>
      <name val="Tahoma"/>
      <family val="2"/>
    </font>
    <font>
      <b/>
      <sz val="8"/>
      <color indexed="17"/>
      <name val="Tahoma"/>
      <family val="2"/>
    </font>
    <font>
      <sz val="11"/>
      <color indexed="10"/>
      <name val="Tahoma"/>
      <family val="2"/>
    </font>
    <font>
      <b/>
      <sz val="10"/>
      <name val="Verdana"/>
      <family val="2"/>
    </font>
    <font>
      <sz val="10"/>
      <color indexed="10"/>
      <name val="Comic Sans MS"/>
      <family val="4"/>
    </font>
    <font>
      <sz val="10"/>
      <color indexed="12"/>
      <name val="Comic Sans MS"/>
      <family val="4"/>
    </font>
    <font>
      <sz val="10"/>
      <color indexed="16"/>
      <name val="Comic Sans MS"/>
      <family val="4"/>
    </font>
    <font>
      <sz val="10"/>
      <color indexed="53"/>
      <name val="Comic Sans MS"/>
      <family val="4"/>
    </font>
    <font>
      <sz val="10"/>
      <color indexed="57"/>
      <name val="Comic Sans MS"/>
      <family val="4"/>
    </font>
    <font>
      <sz val="10"/>
      <color indexed="14"/>
      <name val="Comic Sans MS"/>
      <family val="4"/>
    </font>
    <font>
      <sz val="10"/>
      <color indexed="59"/>
      <name val="Comic Sans MS"/>
      <family val="4"/>
    </font>
    <font>
      <sz val="10"/>
      <color indexed="40"/>
      <name val="Comic Sans MS"/>
      <family val="4"/>
    </font>
    <font>
      <b/>
      <sz val="9"/>
      <color indexed="37"/>
      <name val="Arial"/>
      <family val="2"/>
    </font>
    <font>
      <sz val="10"/>
      <color indexed="61"/>
      <name val="Arial"/>
      <family val="2"/>
    </font>
    <font>
      <b/>
      <sz val="9"/>
      <color indexed="10"/>
      <name val="Arial"/>
      <family val="2"/>
    </font>
    <font>
      <b/>
      <sz val="8"/>
      <color indexed="16"/>
      <name val="Arial"/>
      <family val="2"/>
    </font>
    <font>
      <b/>
      <u/>
      <sz val="10"/>
      <color indexed="12"/>
      <name val="Tahoma"/>
      <family val="2"/>
    </font>
    <font>
      <i/>
      <sz val="10"/>
      <name val="Tahoma"/>
      <family val="2"/>
    </font>
    <font>
      <b/>
      <i/>
      <sz val="10"/>
      <color indexed="12"/>
      <name val="Tahoma"/>
      <family val="2"/>
    </font>
    <font>
      <sz val="10"/>
      <color indexed="20"/>
      <name val="Tahoma"/>
      <family val="2"/>
    </font>
    <font>
      <sz val="12"/>
      <name val="Tahoma"/>
      <family val="2"/>
    </font>
    <font>
      <sz val="12"/>
      <color indexed="12"/>
      <name val="Tahoma"/>
      <family val="2"/>
    </font>
    <font>
      <b/>
      <sz val="12"/>
      <color indexed="12"/>
      <name val="Tahoma"/>
      <family val="2"/>
    </font>
    <font>
      <b/>
      <sz val="11"/>
      <name val="Times New Roman"/>
      <family val="1"/>
    </font>
    <font>
      <sz val="11"/>
      <name val="Times New Roman"/>
      <family val="1"/>
    </font>
    <font>
      <b/>
      <u/>
      <sz val="11"/>
      <name val="Times New Roman"/>
      <family val="1"/>
    </font>
    <font>
      <b/>
      <sz val="11"/>
      <color indexed="10"/>
      <name val="Tahoma"/>
      <family val="2"/>
    </font>
    <font>
      <b/>
      <sz val="10"/>
      <color indexed="12"/>
      <name val="Tahoma"/>
      <family val="2"/>
    </font>
    <font>
      <b/>
      <i/>
      <u/>
      <sz val="11"/>
      <color indexed="10"/>
      <name val="Tahoma"/>
      <family val="2"/>
    </font>
    <font>
      <sz val="14"/>
      <name val="Tahoma"/>
      <family val="2"/>
    </font>
    <font>
      <sz val="9"/>
      <color indexed="10"/>
      <name val="Tahoma"/>
      <family val="2"/>
    </font>
    <font>
      <sz val="8"/>
      <color indexed="48"/>
      <name val="Arial"/>
      <family val="2"/>
    </font>
    <font>
      <sz val="8"/>
      <color indexed="12"/>
      <name val="Arial"/>
      <family val="2"/>
    </font>
    <font>
      <sz val="10"/>
      <color indexed="48"/>
      <name val="Arial"/>
      <family val="2"/>
    </font>
    <font>
      <b/>
      <sz val="10"/>
      <color indexed="48"/>
      <name val="Arial"/>
      <family val="2"/>
    </font>
    <font>
      <sz val="12"/>
      <color indexed="48"/>
      <name val="Times New Roman"/>
      <family val="1"/>
    </font>
    <font>
      <vertAlign val="superscript"/>
      <sz val="9"/>
      <name val="Tahoma"/>
      <family val="2"/>
    </font>
    <font>
      <sz val="8"/>
      <color indexed="14"/>
      <name val="Tahoma"/>
      <family val="2"/>
    </font>
    <font>
      <b/>
      <sz val="10"/>
      <color indexed="14"/>
      <name val="Tahoma"/>
      <family val="2"/>
    </font>
    <font>
      <i/>
      <sz val="8"/>
      <name val="Tahoma"/>
      <family val="2"/>
    </font>
    <font>
      <i/>
      <sz val="10"/>
      <color indexed="12"/>
      <name val="Tahoma"/>
      <family val="2"/>
    </font>
    <font>
      <b/>
      <sz val="10"/>
      <color indexed="8"/>
      <name val="Tahoma"/>
      <family val="2"/>
    </font>
    <font>
      <sz val="10"/>
      <color indexed="8"/>
      <name val="Tahoma"/>
      <family val="2"/>
    </font>
    <font>
      <b/>
      <sz val="14"/>
      <name val="Tahoma"/>
      <family val="2"/>
    </font>
    <font>
      <sz val="10"/>
      <name val="Arial Narrow"/>
      <family val="2"/>
    </font>
    <font>
      <b/>
      <sz val="10"/>
      <color indexed="57"/>
      <name val="Arial"/>
      <family val="2"/>
    </font>
    <font>
      <sz val="14"/>
      <name val="Arial"/>
      <family val="2"/>
    </font>
    <font>
      <b/>
      <u/>
      <sz val="10"/>
      <name val="Tahoma"/>
      <family val="2"/>
    </font>
    <font>
      <b/>
      <u/>
      <sz val="11"/>
      <name val="Tahoma"/>
      <family val="2"/>
    </font>
    <font>
      <sz val="11"/>
      <color indexed="8"/>
      <name val="Tahoma"/>
      <family val="2"/>
    </font>
    <font>
      <sz val="11"/>
      <color indexed="12"/>
      <name val="Tahoma"/>
      <family val="2"/>
    </font>
    <font>
      <sz val="11"/>
      <color theme="1"/>
      <name val="Tahoma"/>
      <family val="2"/>
    </font>
    <font>
      <sz val="8"/>
      <color indexed="20"/>
      <name val="Arial"/>
      <family val="2"/>
    </font>
    <font>
      <b/>
      <sz val="8"/>
      <color indexed="20"/>
      <name val="Arial"/>
      <family val="2"/>
    </font>
    <font>
      <sz val="9"/>
      <color indexed="12"/>
      <name val="Arial"/>
      <family val="2"/>
    </font>
    <font>
      <b/>
      <sz val="8"/>
      <color indexed="14"/>
      <name val="Arial"/>
      <family val="2"/>
    </font>
    <font>
      <i/>
      <sz val="10"/>
      <name val="Arial"/>
      <family val="2"/>
    </font>
    <font>
      <i/>
      <sz val="8"/>
      <name val="Arial"/>
      <family val="2"/>
    </font>
    <font>
      <i/>
      <sz val="8"/>
      <color indexed="14"/>
      <name val="Arial"/>
      <family val="2"/>
    </font>
    <font>
      <b/>
      <sz val="8"/>
      <color indexed="39"/>
      <name val="Arial"/>
      <family val="2"/>
    </font>
    <font>
      <sz val="10"/>
      <color theme="1"/>
      <name val="Arial"/>
      <family val="2"/>
    </font>
    <font>
      <i/>
      <sz val="10"/>
      <color theme="1"/>
      <name val="Tahoma"/>
      <family val="2"/>
    </font>
    <font>
      <b/>
      <i/>
      <sz val="10"/>
      <color indexed="48"/>
      <name val="Tahoma"/>
      <family val="2"/>
    </font>
    <font>
      <sz val="11"/>
      <color theme="0"/>
      <name val="Calibri"/>
      <family val="2"/>
      <scheme val="minor"/>
    </font>
    <font>
      <b/>
      <sz val="10"/>
      <name val="Century Gothic"/>
      <family val="2"/>
    </font>
    <font>
      <sz val="10"/>
      <name val="Century Gothic"/>
      <family val="2"/>
    </font>
    <font>
      <b/>
      <sz val="11"/>
      <name val="Century Gothic"/>
      <family val="2"/>
    </font>
    <font>
      <b/>
      <sz val="12"/>
      <name val="Century Gothic"/>
      <family val="2"/>
    </font>
    <font>
      <b/>
      <sz val="12"/>
      <color indexed="62"/>
      <name val="Century Gothic"/>
      <family val="2"/>
    </font>
    <font>
      <b/>
      <sz val="10"/>
      <color indexed="10"/>
      <name val="Century Gothic"/>
      <family val="2"/>
    </font>
    <font>
      <b/>
      <sz val="10"/>
      <color indexed="62"/>
      <name val="Century Gothic"/>
      <family val="2"/>
    </font>
    <font>
      <sz val="10"/>
      <color indexed="10"/>
      <name val="Century Gothic"/>
      <family val="2"/>
    </font>
    <font>
      <b/>
      <sz val="11"/>
      <color indexed="10"/>
      <name val="Century Gothic"/>
      <family val="2"/>
    </font>
    <font>
      <b/>
      <sz val="10"/>
      <name val="Trebuchet MS"/>
      <family val="2"/>
    </font>
    <font>
      <sz val="10"/>
      <name val="Trebuchet MS"/>
      <family val="2"/>
    </font>
    <font>
      <i/>
      <sz val="10"/>
      <name val="Trebuchet MS"/>
      <family val="2"/>
    </font>
    <font>
      <sz val="11"/>
      <name val="Arial Narrow"/>
      <family val="2"/>
    </font>
    <font>
      <sz val="11"/>
      <name val="Century Gothic"/>
      <family val="2"/>
    </font>
    <font>
      <sz val="9"/>
      <name val="Trebuchet MS"/>
      <family val="2"/>
    </font>
    <font>
      <b/>
      <sz val="11"/>
      <color theme="1"/>
      <name val="Calibri"/>
      <family val="2"/>
      <scheme val="minor"/>
    </font>
  </fonts>
  <fills count="3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rgb="FFFFFF00"/>
        <bgColor indexed="64"/>
      </patternFill>
    </fill>
    <fill>
      <patternFill patternType="solid">
        <fgColor rgb="FF00B0F0"/>
        <bgColor indexed="64"/>
      </patternFill>
    </fill>
    <fill>
      <patternFill patternType="mediumGray">
        <fgColor indexed="9"/>
      </patternFill>
    </fill>
    <fill>
      <patternFill patternType="solid">
        <fgColor indexed="13"/>
        <bgColor indexed="64"/>
      </patternFill>
    </fill>
    <fill>
      <patternFill patternType="solid">
        <fgColor indexed="43"/>
        <bgColor indexed="64"/>
      </patternFill>
    </fill>
    <fill>
      <patternFill patternType="solid">
        <fgColor indexed="41"/>
        <bgColor indexed="64"/>
      </patternFill>
    </fill>
    <fill>
      <patternFill patternType="solid">
        <fgColor indexed="44"/>
        <bgColor indexed="64"/>
      </patternFill>
    </fill>
    <fill>
      <patternFill patternType="solid">
        <fgColor indexed="22"/>
        <bgColor indexed="64"/>
      </patternFill>
    </fill>
    <fill>
      <patternFill patternType="solid">
        <fgColor indexed="49"/>
        <bgColor indexed="64"/>
      </patternFill>
    </fill>
    <fill>
      <patternFill patternType="solid">
        <fgColor indexed="14"/>
        <bgColor indexed="64"/>
      </patternFill>
    </fill>
    <fill>
      <patternFill patternType="solid">
        <fgColor indexed="40"/>
        <bgColor indexed="64"/>
      </patternFill>
    </fill>
    <fill>
      <patternFill patternType="solid">
        <fgColor indexed="51"/>
        <bgColor indexed="64"/>
      </patternFill>
    </fill>
    <fill>
      <patternFill patternType="solid">
        <fgColor indexed="11"/>
        <bgColor indexed="64"/>
      </patternFill>
    </fill>
    <fill>
      <patternFill patternType="solid">
        <fgColor indexed="47"/>
        <bgColor indexed="64"/>
      </patternFill>
    </fill>
    <fill>
      <patternFill patternType="solid">
        <fgColor indexed="15"/>
        <bgColor indexed="64"/>
      </patternFill>
    </fill>
    <fill>
      <patternFill patternType="solid">
        <fgColor indexed="12"/>
        <bgColor indexed="64"/>
      </patternFill>
    </fill>
    <fill>
      <patternFill patternType="solid">
        <fgColor indexed="59"/>
        <bgColor indexed="64"/>
      </patternFill>
    </fill>
    <fill>
      <patternFill patternType="solid">
        <fgColor indexed="50"/>
        <bgColor indexed="64"/>
      </patternFill>
    </fill>
    <fill>
      <patternFill patternType="solid">
        <fgColor indexed="16"/>
        <bgColor indexed="64"/>
      </patternFill>
    </fill>
    <fill>
      <patternFill patternType="solid">
        <fgColor theme="4" tint="0.79998168889431442"/>
        <bgColor indexed="64"/>
      </patternFill>
    </fill>
    <fill>
      <patternFill patternType="solid">
        <fgColor theme="0"/>
        <bgColor indexed="64"/>
      </patternFill>
    </fill>
    <fill>
      <patternFill patternType="solid">
        <fgColor theme="6"/>
        <bgColor indexed="64"/>
      </patternFill>
    </fill>
    <fill>
      <patternFill patternType="solid">
        <fgColor rgb="FF92D050"/>
        <bgColor indexed="64"/>
      </patternFill>
    </fill>
    <fill>
      <patternFill patternType="solid">
        <fgColor rgb="FF7030A0"/>
        <bgColor indexed="64"/>
      </patternFill>
    </fill>
    <fill>
      <patternFill patternType="solid">
        <fgColor theme="6" tint="0.79998168889431442"/>
        <bgColor indexed="64"/>
      </patternFill>
    </fill>
    <fill>
      <patternFill patternType="solid">
        <fgColor theme="4"/>
        <bgColor indexed="64"/>
      </patternFill>
    </fill>
    <fill>
      <patternFill patternType="solid">
        <fgColor rgb="FF00B050"/>
        <bgColor indexed="64"/>
      </patternFill>
    </fill>
    <fill>
      <patternFill patternType="solid">
        <fgColor theme="9" tint="-0.249977111117893"/>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double">
        <color indexed="64"/>
      </bottom>
      <diagonal/>
    </border>
    <border>
      <left/>
      <right/>
      <top/>
      <bottom style="hair">
        <color indexed="64"/>
      </bottom>
      <diagonal/>
    </border>
    <border>
      <left/>
      <right/>
      <top style="thin">
        <color indexed="64"/>
      </top>
      <bottom style="medium">
        <color indexed="64"/>
      </bottom>
      <diagonal/>
    </border>
    <border>
      <left style="hair">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3">
    <xf numFmtId="0" fontId="0" fillId="0" borderId="0"/>
    <xf numFmtId="9" fontId="1" fillId="0" borderId="0" applyFont="0" applyFill="0" applyBorder="0" applyAlignment="0" applyProtection="0"/>
    <xf numFmtId="0" fontId="13" fillId="0" borderId="0"/>
  </cellStyleXfs>
  <cellXfs count="2177">
    <xf numFmtId="0" fontId="0" fillId="0" borderId="0" xfId="0"/>
    <xf numFmtId="0" fontId="0" fillId="0" borderId="0" xfId="0" applyAlignment="1" applyProtection="1">
      <alignment horizontal="center"/>
      <protection locked="0"/>
    </xf>
    <xf numFmtId="0" fontId="0" fillId="0" borderId="0" xfId="0" applyProtection="1">
      <protection locked="0"/>
    </xf>
    <xf numFmtId="0" fontId="3" fillId="0" borderId="0" xfId="0" applyFont="1" applyProtection="1">
      <protection locked="0"/>
    </xf>
    <xf numFmtId="1" fontId="4" fillId="0" borderId="0" xfId="0" applyNumberFormat="1" applyFont="1" applyAlignment="1" applyProtection="1">
      <alignment horizontal="center"/>
      <protection locked="0"/>
    </xf>
    <xf numFmtId="0" fontId="5" fillId="0" borderId="0" xfId="0" applyFont="1" applyBorder="1" applyProtection="1">
      <protection locked="0"/>
    </xf>
    <xf numFmtId="0" fontId="6" fillId="0" borderId="0" xfId="0" applyFont="1" applyBorder="1" applyProtection="1">
      <protection locked="0"/>
    </xf>
    <xf numFmtId="0" fontId="8" fillId="0" borderId="0" xfId="0" applyFont="1" applyBorder="1" applyProtection="1">
      <protection locked="0"/>
    </xf>
    <xf numFmtId="0" fontId="8" fillId="0" borderId="0" xfId="0" applyFont="1" applyBorder="1" applyAlignment="1" applyProtection="1">
      <alignment horizontal="center"/>
      <protection locked="0"/>
    </xf>
    <xf numFmtId="0" fontId="4" fillId="0" borderId="0" xfId="0" applyFont="1" applyAlignment="1" applyProtection="1">
      <alignment horizontal="center"/>
      <protection locked="0"/>
    </xf>
    <xf numFmtId="0" fontId="0" fillId="0" borderId="0" xfId="0" applyBorder="1" applyProtection="1">
      <protection locked="0"/>
    </xf>
    <xf numFmtId="0" fontId="9" fillId="0" borderId="0" xfId="0" applyFont="1" applyProtection="1">
      <protection locked="0"/>
    </xf>
    <xf numFmtId="0" fontId="3" fillId="0" borderId="0" xfId="0" applyFont="1" applyAlignment="1" applyProtection="1">
      <alignment horizontal="center"/>
      <protection locked="0"/>
    </xf>
    <xf numFmtId="0" fontId="10" fillId="2" borderId="0" xfId="0" applyFont="1" applyFill="1" applyProtection="1">
      <protection locked="0"/>
    </xf>
    <xf numFmtId="0" fontId="11" fillId="0" borderId="0" xfId="0" applyFont="1" applyProtection="1">
      <protection locked="0"/>
    </xf>
    <xf numFmtId="0" fontId="8" fillId="0" borderId="0" xfId="0" applyFont="1" applyBorder="1" applyAlignment="1" applyProtection="1">
      <alignment horizontal="right"/>
      <protection locked="0"/>
    </xf>
    <xf numFmtId="0" fontId="2" fillId="0" borderId="1" xfId="0" applyFont="1" applyBorder="1" applyAlignment="1" applyProtection="1">
      <alignment horizontal="center"/>
      <protection locked="0"/>
    </xf>
    <xf numFmtId="0" fontId="3" fillId="0" borderId="0" xfId="0" applyFont="1" applyAlignment="1" applyProtection="1">
      <alignment horizontal="right"/>
      <protection locked="0"/>
    </xf>
    <xf numFmtId="0" fontId="2" fillId="0" borderId="0" xfId="0" applyFont="1" applyAlignment="1" applyProtection="1">
      <alignment horizontal="center"/>
      <protection locked="0"/>
    </xf>
    <xf numFmtId="0" fontId="12" fillId="0" borderId="0" xfId="0" applyFont="1" applyAlignment="1" applyProtection="1">
      <alignment horizontal="center"/>
      <protection locked="0"/>
    </xf>
    <xf numFmtId="0" fontId="12" fillId="0" borderId="0" xfId="0" applyFont="1" applyProtection="1">
      <protection locked="0"/>
    </xf>
    <xf numFmtId="0" fontId="13" fillId="0" borderId="0" xfId="0" applyFont="1" applyAlignment="1" applyProtection="1">
      <alignment horizontal="center"/>
      <protection locked="0"/>
    </xf>
    <xf numFmtId="0" fontId="13" fillId="0" borderId="0" xfId="0" quotePrefix="1" applyFont="1" applyAlignment="1" applyProtection="1">
      <alignment horizontal="left"/>
      <protection locked="0"/>
    </xf>
    <xf numFmtId="0" fontId="14" fillId="0" borderId="0" xfId="0" quotePrefix="1" applyFont="1" applyAlignment="1" applyProtection="1">
      <alignment horizontal="center"/>
      <protection locked="0"/>
    </xf>
    <xf numFmtId="2" fontId="0" fillId="0" borderId="0" xfId="0" applyNumberFormat="1" applyProtection="1">
      <protection locked="0"/>
    </xf>
    <xf numFmtId="0" fontId="11" fillId="0" borderId="0" xfId="0" applyFont="1" applyAlignment="1" applyProtection="1">
      <alignment horizontal="left"/>
      <protection locked="0"/>
    </xf>
    <xf numFmtId="0" fontId="14" fillId="0" borderId="0" xfId="0" applyFont="1" applyAlignment="1" applyProtection="1">
      <alignment horizontal="center"/>
      <protection locked="0"/>
    </xf>
    <xf numFmtId="2" fontId="0" fillId="0" borderId="2" xfId="0" applyNumberFormat="1" applyBorder="1" applyProtection="1">
      <protection locked="0"/>
    </xf>
    <xf numFmtId="0" fontId="0" fillId="0" borderId="0" xfId="0" quotePrefix="1" applyAlignment="1" applyProtection="1">
      <alignment horizontal="left"/>
      <protection locked="0"/>
    </xf>
    <xf numFmtId="0" fontId="9" fillId="0" borderId="0" xfId="0" applyFont="1" applyAlignment="1" applyProtection="1">
      <alignment horizontal="center"/>
      <protection locked="0"/>
    </xf>
    <xf numFmtId="2" fontId="9" fillId="0" borderId="0" xfId="0" applyNumberFormat="1" applyFont="1" applyProtection="1">
      <protection locked="0"/>
    </xf>
    <xf numFmtId="0" fontId="15" fillId="0" borderId="0" xfId="0" applyFont="1" applyProtection="1">
      <protection locked="0"/>
    </xf>
    <xf numFmtId="2" fontId="9" fillId="0" borderId="2" xfId="0" applyNumberFormat="1" applyFont="1" applyBorder="1" applyProtection="1">
      <protection locked="0"/>
    </xf>
    <xf numFmtId="0" fontId="9" fillId="0" borderId="0" xfId="0" quotePrefix="1" applyFont="1" applyAlignment="1" applyProtection="1">
      <alignment horizontal="left"/>
      <protection locked="0"/>
    </xf>
    <xf numFmtId="1" fontId="0" fillId="0" borderId="0" xfId="0" applyNumberFormat="1" applyProtection="1">
      <protection locked="0"/>
    </xf>
    <xf numFmtId="1" fontId="0" fillId="0" borderId="2" xfId="0" applyNumberFormat="1" applyBorder="1" applyProtection="1">
      <protection locked="0"/>
    </xf>
    <xf numFmtId="0" fontId="13" fillId="0" borderId="0" xfId="0" applyFont="1" applyProtection="1">
      <protection locked="0"/>
    </xf>
    <xf numFmtId="1" fontId="9" fillId="0" borderId="0" xfId="0" applyNumberFormat="1" applyFont="1" applyProtection="1">
      <protection locked="0"/>
    </xf>
    <xf numFmtId="164" fontId="9" fillId="0" borderId="0" xfId="0" applyNumberFormat="1" applyFont="1" applyProtection="1">
      <protection locked="0"/>
    </xf>
    <xf numFmtId="2" fontId="16" fillId="0" borderId="0" xfId="0" applyNumberFormat="1" applyFont="1" applyAlignment="1" applyProtection="1">
      <alignment horizontal="right"/>
      <protection locked="0"/>
    </xf>
    <xf numFmtId="0" fontId="17" fillId="0" borderId="0" xfId="0" applyFont="1" applyAlignment="1" applyProtection="1">
      <alignment horizontal="left"/>
      <protection locked="0"/>
    </xf>
    <xf numFmtId="1" fontId="3" fillId="0" borderId="0" xfId="0" applyNumberFormat="1" applyFont="1" applyAlignment="1" applyProtection="1">
      <alignment horizontal="right"/>
      <protection locked="0"/>
    </xf>
    <xf numFmtId="0" fontId="18" fillId="0" borderId="0" xfId="0" applyFont="1" applyProtection="1">
      <protection locked="0"/>
    </xf>
    <xf numFmtId="0" fontId="2" fillId="0" borderId="0" xfId="0" applyFont="1" applyProtection="1">
      <protection locked="0"/>
    </xf>
    <xf numFmtId="2"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2" fontId="2" fillId="0" borderId="0" xfId="0" applyNumberFormat="1" applyFont="1" applyAlignment="1" applyProtection="1">
      <alignment horizontal="left"/>
      <protection locked="0"/>
    </xf>
    <xf numFmtId="164" fontId="9" fillId="0" borderId="0" xfId="0" applyNumberFormat="1" applyFont="1" applyAlignment="1" applyProtection="1">
      <alignment horizontal="left"/>
      <protection locked="0"/>
    </xf>
    <xf numFmtId="165" fontId="0" fillId="0" borderId="0" xfId="0" applyNumberFormat="1" applyProtection="1">
      <protection locked="0"/>
    </xf>
    <xf numFmtId="0" fontId="19" fillId="0" borderId="0" xfId="0" applyFont="1" applyProtection="1">
      <protection locked="0"/>
    </xf>
    <xf numFmtId="164" fontId="19" fillId="0" borderId="0" xfId="0" applyNumberFormat="1" applyFont="1" applyProtection="1">
      <protection locked="0"/>
    </xf>
    <xf numFmtId="0" fontId="0" fillId="0" borderId="0" xfId="0" applyAlignment="1" applyProtection="1">
      <alignment horizontal="left"/>
      <protection locked="0"/>
    </xf>
    <xf numFmtId="2" fontId="19" fillId="0" borderId="0" xfId="0" applyNumberFormat="1" applyFont="1" applyProtection="1">
      <protection locked="0"/>
    </xf>
    <xf numFmtId="0" fontId="9" fillId="0" borderId="0" xfId="0" applyFont="1" applyAlignment="1" applyProtection="1">
      <alignment horizontal="right"/>
      <protection locked="0"/>
    </xf>
    <xf numFmtId="2" fontId="15" fillId="0" borderId="0" xfId="0" applyNumberFormat="1" applyFont="1" applyProtection="1">
      <protection locked="0"/>
    </xf>
    <xf numFmtId="0" fontId="20" fillId="0" borderId="0" xfId="0" applyFont="1" applyAlignment="1" applyProtection="1">
      <alignment horizontal="center"/>
      <protection locked="0"/>
    </xf>
    <xf numFmtId="0" fontId="21" fillId="0" borderId="0" xfId="0" applyFont="1" applyAlignment="1" applyProtection="1">
      <alignment horizontal="center"/>
      <protection locked="0"/>
    </xf>
    <xf numFmtId="0" fontId="0" fillId="3" borderId="0" xfId="0" applyFill="1" applyProtection="1">
      <protection locked="0"/>
    </xf>
    <xf numFmtId="0" fontId="0" fillId="0" borderId="2" xfId="0" applyBorder="1" applyProtection="1">
      <protection locked="0"/>
    </xf>
    <xf numFmtId="0" fontId="19" fillId="0" borderId="0" xfId="0" applyFont="1" applyAlignment="1" applyProtection="1">
      <alignment horizontal="center"/>
      <protection locked="0"/>
    </xf>
    <xf numFmtId="0" fontId="9" fillId="4" borderId="0" xfId="0" applyFont="1" applyFill="1" applyProtection="1">
      <protection locked="0"/>
    </xf>
    <xf numFmtId="0" fontId="0" fillId="4" borderId="0" xfId="0" applyFill="1" applyProtection="1">
      <protection locked="0"/>
    </xf>
    <xf numFmtId="0" fontId="9" fillId="0" borderId="1" xfId="0" applyFont="1" applyBorder="1" applyAlignment="1" applyProtection="1">
      <alignment horizontal="center" vertical="top" wrapText="1"/>
      <protection locked="0"/>
    </xf>
    <xf numFmtId="0" fontId="9" fillId="0" borderId="1" xfId="0" applyFont="1" applyBorder="1" applyAlignment="1" applyProtection="1">
      <alignment horizontal="center" vertical="top"/>
      <protection locked="0"/>
    </xf>
    <xf numFmtId="0" fontId="9" fillId="0" borderId="1" xfId="0" applyFont="1" applyFill="1" applyBorder="1" applyAlignment="1" applyProtection="1">
      <alignment horizontal="center" vertical="top"/>
      <protection locked="0"/>
    </xf>
    <xf numFmtId="0" fontId="0" fillId="0" borderId="0" xfId="0" applyFill="1"/>
    <xf numFmtId="0" fontId="23" fillId="0" borderId="0" xfId="0" applyFont="1" applyAlignment="1" applyProtection="1">
      <alignment horizontal="center"/>
      <protection locked="0"/>
    </xf>
    <xf numFmtId="0" fontId="23" fillId="0" borderId="0" xfId="0" applyFont="1" applyProtection="1">
      <protection locked="0"/>
    </xf>
    <xf numFmtId="0" fontId="23" fillId="0" borderId="1" xfId="0" applyFont="1" applyBorder="1" applyAlignment="1" applyProtection="1">
      <alignment horizontal="right"/>
      <protection locked="0"/>
    </xf>
    <xf numFmtId="0" fontId="0" fillId="0" borderId="0" xfId="0" applyBorder="1" applyAlignment="1" applyProtection="1">
      <alignment horizontal="center"/>
      <protection locked="0"/>
    </xf>
    <xf numFmtId="1" fontId="0" fillId="0" borderId="0" xfId="0" applyNumberFormat="1" applyBorder="1" applyAlignment="1" applyProtection="1">
      <alignment horizontal="center"/>
      <protection locked="0"/>
    </xf>
    <xf numFmtId="0" fontId="13" fillId="6" borderId="0" xfId="0" applyFont="1" applyFill="1" applyProtection="1">
      <protection locked="0"/>
    </xf>
    <xf numFmtId="0" fontId="0" fillId="6" borderId="0" xfId="0" applyFill="1" applyProtection="1">
      <protection locked="0"/>
    </xf>
    <xf numFmtId="9" fontId="0" fillId="6" borderId="0" xfId="0" applyNumberFormat="1" applyFill="1" applyProtection="1">
      <protection locked="0"/>
    </xf>
    <xf numFmtId="2" fontId="0" fillId="0" borderId="0" xfId="0" applyNumberFormat="1" applyAlignment="1" applyProtection="1">
      <alignment horizontal="center"/>
      <protection locked="0"/>
    </xf>
    <xf numFmtId="0" fontId="13" fillId="0" borderId="0" xfId="0" quotePrefix="1" applyFont="1" applyAlignment="1" applyProtection="1">
      <alignment horizontal="center"/>
      <protection locked="0"/>
    </xf>
    <xf numFmtId="0" fontId="0" fillId="0" borderId="0" xfId="0" quotePrefix="1" applyAlignment="1" applyProtection="1">
      <alignment horizontal="center"/>
      <protection locked="0"/>
    </xf>
    <xf numFmtId="0" fontId="13" fillId="0" borderId="0" xfId="0" applyFont="1" applyAlignment="1" applyProtection="1">
      <alignment horizontal="left"/>
      <protection locked="0"/>
    </xf>
    <xf numFmtId="0" fontId="13" fillId="0" borderId="0" xfId="0" quotePrefix="1" applyFont="1" applyProtection="1">
      <protection locked="0"/>
    </xf>
    <xf numFmtId="0" fontId="19" fillId="0" borderId="5" xfId="0" applyFont="1" applyBorder="1"/>
    <xf numFmtId="0" fontId="19" fillId="0" borderId="6" xfId="0" applyFont="1" applyBorder="1"/>
    <xf numFmtId="0" fontId="19" fillId="0" borderId="7" xfId="0" applyFont="1" applyBorder="1"/>
    <xf numFmtId="0" fontId="19" fillId="0" borderId="8" xfId="0" quotePrefix="1" applyFont="1" applyBorder="1" applyAlignment="1">
      <alignment horizontal="left"/>
    </xf>
    <xf numFmtId="0" fontId="19" fillId="0" borderId="0" xfId="0" applyFont="1" applyBorder="1"/>
    <xf numFmtId="2" fontId="19" fillId="0" borderId="9" xfId="0" applyNumberFormat="1" applyFont="1" applyBorder="1" applyAlignment="1">
      <alignment horizontal="center"/>
    </xf>
    <xf numFmtId="0" fontId="19" fillId="0" borderId="10" xfId="0" quotePrefix="1" applyFont="1" applyBorder="1" applyAlignment="1">
      <alignment horizontal="left"/>
    </xf>
    <xf numFmtId="0" fontId="19" fillId="0" borderId="11" xfId="0" applyFont="1" applyBorder="1"/>
    <xf numFmtId="2" fontId="19" fillId="0" borderId="12" xfId="0" applyNumberFormat="1" applyFont="1" applyBorder="1" applyAlignment="1">
      <alignment horizontal="center"/>
    </xf>
    <xf numFmtId="0" fontId="27" fillId="0" borderId="1" xfId="0" applyFont="1" applyBorder="1"/>
    <xf numFmtId="9" fontId="27" fillId="0" borderId="1" xfId="1" applyFont="1" applyBorder="1"/>
    <xf numFmtId="0" fontId="0" fillId="0" borderId="0" xfId="0" applyBorder="1"/>
    <xf numFmtId="0" fontId="0" fillId="0" borderId="1" xfId="0" applyBorder="1"/>
    <xf numFmtId="1" fontId="0" fillId="0" borderId="1" xfId="0" applyNumberFormat="1" applyBorder="1"/>
    <xf numFmtId="0" fontId="28" fillId="0" borderId="11" xfId="0" applyFont="1" applyBorder="1"/>
    <xf numFmtId="0" fontId="28" fillId="0" borderId="11" xfId="0" quotePrefix="1" applyFont="1" applyFill="1" applyBorder="1" applyAlignment="1">
      <alignment horizontal="left"/>
    </xf>
    <xf numFmtId="0" fontId="28" fillId="0" borderId="0" xfId="0" applyFont="1" applyBorder="1"/>
    <xf numFmtId="0" fontId="29" fillId="0" borderId="1" xfId="0" applyFont="1" applyBorder="1"/>
    <xf numFmtId="0" fontId="9" fillId="0" borderId="0" xfId="0" applyFont="1"/>
    <xf numFmtId="0" fontId="0" fillId="0" borderId="1" xfId="0" applyFill="1" applyBorder="1"/>
    <xf numFmtId="0" fontId="13" fillId="0" borderId="0" xfId="0" quotePrefix="1" applyFont="1" applyBorder="1" applyAlignment="1">
      <alignment horizontal="left"/>
    </xf>
    <xf numFmtId="0" fontId="9" fillId="0" borderId="0" xfId="0" applyFont="1" applyBorder="1"/>
    <xf numFmtId="2" fontId="0" fillId="0" borderId="0" xfId="0" applyNumberFormat="1" applyBorder="1" applyAlignment="1">
      <alignment horizontal="center"/>
    </xf>
    <xf numFmtId="2" fontId="5" fillId="0" borderId="0" xfId="0" applyNumberFormat="1" applyFont="1" applyAlignment="1">
      <alignment horizontal="center"/>
    </xf>
    <xf numFmtId="0" fontId="9" fillId="7" borderId="0" xfId="0" applyFont="1" applyFill="1" applyAlignment="1"/>
    <xf numFmtId="0" fontId="30" fillId="0" borderId="0" xfId="0" applyFont="1"/>
    <xf numFmtId="0" fontId="0" fillId="0" borderId="0" xfId="0" quotePrefix="1" applyAlignment="1">
      <alignment horizontal="left"/>
    </xf>
    <xf numFmtId="164" fontId="5" fillId="0" borderId="0" xfId="0" applyNumberFormat="1" applyFont="1"/>
    <xf numFmtId="0" fontId="8" fillId="0" borderId="0" xfId="0" quotePrefix="1" applyFont="1" applyAlignment="1">
      <alignment horizontal="left"/>
    </xf>
    <xf numFmtId="2" fontId="5" fillId="0" borderId="0" xfId="0" quotePrefix="1" applyNumberFormat="1" applyFont="1" applyAlignment="1">
      <alignment horizontal="center"/>
    </xf>
    <xf numFmtId="2" fontId="5" fillId="0" borderId="0" xfId="0" applyNumberFormat="1" applyFont="1" applyAlignment="1">
      <alignment horizontal="left"/>
    </xf>
    <xf numFmtId="0" fontId="9" fillId="0" borderId="0" xfId="0" quotePrefix="1" applyFont="1" applyAlignment="1">
      <alignment horizontal="left"/>
    </xf>
    <xf numFmtId="0" fontId="13" fillId="0" borderId="0" xfId="0" applyFont="1"/>
    <xf numFmtId="0" fontId="5" fillId="0" borderId="0" xfId="0" applyFont="1" applyAlignment="1">
      <alignment horizontal="right"/>
    </xf>
    <xf numFmtId="0" fontId="8" fillId="0" borderId="0" xfId="0" applyFont="1"/>
    <xf numFmtId="0" fontId="5" fillId="0" borderId="0" xfId="0" quotePrefix="1" applyFont="1" applyAlignment="1">
      <alignment horizontal="left"/>
    </xf>
    <xf numFmtId="165" fontId="8" fillId="0" borderId="0" xfId="0" applyNumberFormat="1" applyFont="1" applyAlignment="1">
      <alignment horizontal="left"/>
    </xf>
    <xf numFmtId="0" fontId="9" fillId="0" borderId="0" xfId="0" applyFont="1" applyAlignment="1">
      <alignment horizontal="right"/>
    </xf>
    <xf numFmtId="2" fontId="15" fillId="0" borderId="0" xfId="0" applyNumberFormat="1" applyFont="1" applyAlignment="1">
      <alignment horizontal="center"/>
    </xf>
    <xf numFmtId="165" fontId="8" fillId="0" borderId="0" xfId="0" applyNumberFormat="1" applyFont="1" applyAlignment="1">
      <alignment horizontal="right"/>
    </xf>
    <xf numFmtId="0" fontId="5" fillId="0" borderId="0" xfId="0" applyFont="1"/>
    <xf numFmtId="0" fontId="0" fillId="0" borderId="0" xfId="0" applyAlignment="1">
      <alignment horizontal="center"/>
    </xf>
    <xf numFmtId="2" fontId="15" fillId="0" borderId="0" xfId="0" applyNumberFormat="1" applyFont="1"/>
    <xf numFmtId="2" fontId="8" fillId="0" borderId="0" xfId="0" applyNumberFormat="1" applyFont="1" applyAlignment="1">
      <alignment horizontal="center"/>
    </xf>
    <xf numFmtId="0" fontId="5" fillId="0" borderId="0" xfId="0" applyFont="1" applyAlignment="1">
      <alignment horizontal="center"/>
    </xf>
    <xf numFmtId="0" fontId="15" fillId="0" borderId="0" xfId="0" applyFont="1"/>
    <xf numFmtId="2" fontId="11" fillId="0" borderId="0" xfId="0" applyNumberFormat="1" applyFont="1"/>
    <xf numFmtId="2" fontId="8" fillId="0" borderId="0" xfId="0" applyNumberFormat="1" applyFont="1" applyAlignment="1">
      <alignment horizontal="left"/>
    </xf>
    <xf numFmtId="0" fontId="31" fillId="0" borderId="0" xfId="0" quotePrefix="1" applyFont="1" applyBorder="1" applyAlignment="1">
      <alignment horizontal="left"/>
    </xf>
    <xf numFmtId="0" fontId="28" fillId="0" borderId="0" xfId="0" quotePrefix="1" applyFont="1" applyBorder="1" applyAlignment="1">
      <alignment horizontal="left"/>
    </xf>
    <xf numFmtId="0" fontId="3" fillId="0" borderId="0" xfId="0" applyFont="1"/>
    <xf numFmtId="0" fontId="3" fillId="0" borderId="0" xfId="0" quotePrefix="1" applyFont="1" applyAlignment="1">
      <alignment horizontal="left"/>
    </xf>
    <xf numFmtId="0" fontId="9" fillId="0" borderId="0" xfId="0" applyFont="1" applyAlignment="1">
      <alignment horizontal="centerContinuous"/>
    </xf>
    <xf numFmtId="0" fontId="0" fillId="0" borderId="0" xfId="0" applyAlignment="1">
      <alignment horizontal="centerContinuous"/>
    </xf>
    <xf numFmtId="0" fontId="9" fillId="0" borderId="11" xfId="0" applyFont="1" applyBorder="1" applyAlignment="1"/>
    <xf numFmtId="0" fontId="9" fillId="0" borderId="11" xfId="0" applyFont="1" applyBorder="1" applyAlignment="1">
      <alignment horizontal="centerContinuous"/>
    </xf>
    <xf numFmtId="0" fontId="9" fillId="0" borderId="0" xfId="0" applyFont="1" applyBorder="1" applyAlignment="1">
      <alignment horizontal="centerContinuous"/>
    </xf>
    <xf numFmtId="0" fontId="32" fillId="0" borderId="0" xfId="0" quotePrefix="1" applyFont="1" applyAlignment="1">
      <alignment horizontal="left"/>
    </xf>
    <xf numFmtId="1" fontId="9" fillId="0" borderId="0" xfId="0" applyNumberFormat="1" applyFont="1" applyAlignment="1">
      <alignment horizontal="center"/>
    </xf>
    <xf numFmtId="2" fontId="2" fillId="0" borderId="0" xfId="0" quotePrefix="1" applyNumberFormat="1" applyFont="1" applyAlignment="1">
      <alignment horizontal="center"/>
    </xf>
    <xf numFmtId="0" fontId="2" fillId="0" borderId="0" xfId="0" applyFont="1"/>
    <xf numFmtId="0" fontId="33" fillId="0" borderId="0" xfId="0" applyFont="1"/>
    <xf numFmtId="0" fontId="0" fillId="0" borderId="11" xfId="0" applyBorder="1"/>
    <xf numFmtId="0" fontId="34" fillId="0" borderId="11" xfId="0" quotePrefix="1" applyFont="1" applyBorder="1" applyAlignment="1">
      <alignment horizontal="left"/>
    </xf>
    <xf numFmtId="1" fontId="9" fillId="0" borderId="11" xfId="0" applyNumberFormat="1" applyFont="1" applyBorder="1" applyAlignment="1">
      <alignment horizontal="left"/>
    </xf>
    <xf numFmtId="0" fontId="2" fillId="0" borderId="1" xfId="0" quotePrefix="1" applyFont="1" applyBorder="1" applyAlignment="1">
      <alignment horizontal="left"/>
    </xf>
    <xf numFmtId="0" fontId="2" fillId="0" borderId="1" xfId="0" applyFont="1" applyBorder="1" applyAlignment="1">
      <alignment horizontal="center"/>
    </xf>
    <xf numFmtId="0" fontId="0" fillId="0" borderId="0" xfId="0" applyBorder="1" applyAlignment="1">
      <alignment horizontal="center" vertical="center"/>
    </xf>
    <xf numFmtId="0" fontId="0" fillId="0" borderId="0" xfId="0" quotePrefix="1" applyBorder="1" applyAlignment="1">
      <alignment horizontal="left"/>
    </xf>
    <xf numFmtId="0" fontId="0" fillId="0" borderId="0" xfId="0" applyBorder="1" applyAlignment="1">
      <alignment horizontal="center" vertical="center" wrapText="1"/>
    </xf>
    <xf numFmtId="2" fontId="3" fillId="0" borderId="0" xfId="0" applyNumberFormat="1" applyFont="1" applyBorder="1"/>
    <xf numFmtId="2" fontId="0" fillId="0" borderId="0" xfId="0" applyNumberFormat="1" applyBorder="1"/>
    <xf numFmtId="1" fontId="3" fillId="0" borderId="0" xfId="0" applyNumberFormat="1" applyFont="1" applyBorder="1"/>
    <xf numFmtId="1" fontId="0" fillId="0" borderId="0" xfId="0" applyNumberFormat="1" applyBorder="1"/>
    <xf numFmtId="0" fontId="35" fillId="0" borderId="0" xfId="0" applyFont="1" applyBorder="1" applyAlignment="1">
      <alignment horizontal="center" vertical="center" wrapText="1"/>
    </xf>
    <xf numFmtId="2" fontId="0" fillId="0" borderId="0" xfId="0" applyNumberFormat="1"/>
    <xf numFmtId="0" fontId="3" fillId="0" borderId="0" xfId="0" applyFont="1" applyBorder="1"/>
    <xf numFmtId="0" fontId="3" fillId="0" borderId="0" xfId="0" applyFont="1" applyBorder="1" applyAlignment="1">
      <alignment horizontal="left"/>
    </xf>
    <xf numFmtId="2" fontId="3" fillId="0" borderId="0" xfId="0" applyNumberFormat="1" applyFont="1" applyBorder="1" applyAlignment="1">
      <alignment horizontal="right"/>
    </xf>
    <xf numFmtId="164" fontId="3" fillId="0" borderId="0" xfId="0" applyNumberFormat="1" applyFont="1" applyBorder="1"/>
    <xf numFmtId="0" fontId="11" fillId="0" borderId="0" xfId="0" applyFont="1" applyBorder="1" applyAlignment="1">
      <alignment horizontal="left"/>
    </xf>
    <xf numFmtId="164" fontId="3" fillId="8" borderId="1" xfId="0" applyNumberFormat="1" applyFont="1" applyFill="1" applyBorder="1"/>
    <xf numFmtId="0" fontId="2" fillId="0" borderId="0" xfId="0" applyFont="1" applyBorder="1" applyAlignment="1">
      <alignment horizontal="center"/>
    </xf>
    <xf numFmtId="0" fontId="3" fillId="2" borderId="3" xfId="0" applyFont="1" applyFill="1" applyBorder="1"/>
    <xf numFmtId="0" fontId="3" fillId="2" borderId="2" xfId="0" applyFont="1" applyFill="1" applyBorder="1"/>
    <xf numFmtId="0" fontId="3" fillId="2" borderId="13" xfId="0" applyFont="1" applyFill="1" applyBorder="1"/>
    <xf numFmtId="166" fontId="2" fillId="0" borderId="2" xfId="0" applyNumberFormat="1" applyFont="1" applyBorder="1" applyAlignment="1">
      <alignment horizontal="right"/>
    </xf>
    <xf numFmtId="0" fontId="0" fillId="0" borderId="0" xfId="0" applyBorder="1" applyAlignment="1">
      <alignment horizontal="left"/>
    </xf>
    <xf numFmtId="2" fontId="5" fillId="0" borderId="0" xfId="0" applyNumberFormat="1" applyFont="1"/>
    <xf numFmtId="0" fontId="9" fillId="0" borderId="0" xfId="0" applyFont="1" applyBorder="1" applyAlignment="1"/>
    <xf numFmtId="164" fontId="0" fillId="0" borderId="0" xfId="0" applyNumberFormat="1" applyBorder="1"/>
    <xf numFmtId="0" fontId="11" fillId="0" borderId="0" xfId="0" quotePrefix="1" applyFont="1" applyBorder="1" applyAlignment="1">
      <alignment horizontal="left"/>
    </xf>
    <xf numFmtId="2" fontId="5" fillId="0" borderId="0" xfId="0" applyNumberFormat="1" applyFont="1" applyBorder="1"/>
    <xf numFmtId="2" fontId="5" fillId="0" borderId="0" xfId="0" quotePrefix="1" applyNumberFormat="1" applyFont="1" applyBorder="1" applyAlignment="1">
      <alignment horizontal="center"/>
    </xf>
    <xf numFmtId="0" fontId="13" fillId="0" borderId="0" xfId="0" applyFont="1" applyBorder="1"/>
    <xf numFmtId="0" fontId="5" fillId="0" borderId="0" xfId="0" applyFont="1" applyBorder="1" applyAlignment="1">
      <alignment horizontal="right"/>
    </xf>
    <xf numFmtId="0" fontId="8" fillId="0" borderId="0" xfId="0" quotePrefix="1" applyFont="1" applyBorder="1" applyAlignment="1">
      <alignment horizontal="left"/>
    </xf>
    <xf numFmtId="0" fontId="8" fillId="0" borderId="0" xfId="0" applyFont="1" applyBorder="1"/>
    <xf numFmtId="2" fontId="5" fillId="0" borderId="0" xfId="0" applyNumberFormat="1" applyFont="1" applyBorder="1" applyAlignment="1">
      <alignment horizontal="center"/>
    </xf>
    <xf numFmtId="0" fontId="5" fillId="0" borderId="0" xfId="0" quotePrefix="1" applyFont="1" applyBorder="1" applyAlignment="1">
      <alignment horizontal="left"/>
    </xf>
    <xf numFmtId="0" fontId="5" fillId="0" borderId="0" xfId="0" applyFont="1" applyBorder="1"/>
    <xf numFmtId="2" fontId="15" fillId="0" borderId="0" xfId="0" applyNumberFormat="1" applyFont="1" applyBorder="1"/>
    <xf numFmtId="0" fontId="5" fillId="0" borderId="0" xfId="0" applyFont="1" applyBorder="1" applyAlignment="1">
      <alignment horizontal="center"/>
    </xf>
    <xf numFmtId="0" fontId="15" fillId="0" borderId="0" xfId="0" applyFont="1" applyBorder="1"/>
    <xf numFmtId="2" fontId="5" fillId="0" borderId="0" xfId="0" applyNumberFormat="1" applyFont="1" applyBorder="1" applyAlignment="1">
      <alignment horizontal="left"/>
    </xf>
    <xf numFmtId="2" fontId="8" fillId="0" borderId="0" xfId="0" applyNumberFormat="1" applyFont="1" applyBorder="1" applyAlignment="1">
      <alignment horizontal="left"/>
    </xf>
    <xf numFmtId="0" fontId="0" fillId="0" borderId="0" xfId="0" applyBorder="1" applyAlignment="1">
      <alignment horizontal="centerContinuous"/>
    </xf>
    <xf numFmtId="0" fontId="33" fillId="0" borderId="0" xfId="0" quotePrefix="1" applyFont="1" applyBorder="1" applyAlignment="1"/>
    <xf numFmtId="1" fontId="9" fillId="0" borderId="0" xfId="0" applyNumberFormat="1" applyFont="1" applyBorder="1" applyAlignment="1">
      <alignment horizontal="center"/>
    </xf>
    <xf numFmtId="2" fontId="2" fillId="0" borderId="0" xfId="0" quotePrefix="1" applyNumberFormat="1" applyFont="1" applyBorder="1" applyAlignment="1">
      <alignment horizontal="center"/>
    </xf>
    <xf numFmtId="0" fontId="2" fillId="0" borderId="0" xfId="0" applyFont="1" applyBorder="1"/>
    <xf numFmtId="1" fontId="2" fillId="0" borderId="0" xfId="0" applyNumberFormat="1" applyFont="1" applyBorder="1"/>
    <xf numFmtId="2" fontId="5" fillId="0" borderId="0" xfId="0" applyNumberFormat="1" applyFont="1" applyBorder="1" applyAlignment="1">
      <alignment horizontal="right"/>
    </xf>
    <xf numFmtId="0" fontId="0" fillId="0" borderId="0" xfId="0" applyBorder="1" applyAlignment="1">
      <alignment horizontal="right"/>
    </xf>
    <xf numFmtId="0" fontId="11" fillId="0" borderId="0" xfId="0" quotePrefix="1" applyFont="1" applyAlignment="1" applyProtection="1">
      <alignment horizontal="left"/>
      <protection locked="0"/>
    </xf>
    <xf numFmtId="0" fontId="36" fillId="0" borderId="0" xfId="0" applyFont="1"/>
    <xf numFmtId="0" fontId="37" fillId="0" borderId="1" xfId="0" applyFont="1" applyBorder="1"/>
    <xf numFmtId="2" fontId="37" fillId="0" borderId="1" xfId="0" applyNumberFormat="1" applyFont="1" applyBorder="1"/>
    <xf numFmtId="2" fontId="37" fillId="9" borderId="1" xfId="0" applyNumberFormat="1" applyFont="1" applyFill="1" applyBorder="1"/>
    <xf numFmtId="0" fontId="0" fillId="0" borderId="1" xfId="0" applyBorder="1" applyAlignment="1">
      <alignment horizontal="centerContinuous"/>
    </xf>
    <xf numFmtId="164" fontId="0" fillId="9" borderId="1" xfId="0" applyNumberFormat="1" applyFill="1" applyBorder="1"/>
    <xf numFmtId="0" fontId="37" fillId="0" borderId="1" xfId="0" quotePrefix="1" applyFont="1" applyBorder="1" applyAlignment="1">
      <alignment horizontal="left"/>
    </xf>
    <xf numFmtId="0" fontId="19" fillId="0" borderId="1" xfId="0" applyFont="1" applyBorder="1" applyAlignment="1">
      <alignment horizontal="center"/>
    </xf>
    <xf numFmtId="2" fontId="0" fillId="9" borderId="1" xfId="0" applyNumberFormat="1" applyFill="1" applyBorder="1"/>
    <xf numFmtId="0" fontId="8" fillId="0" borderId="1" xfId="0" quotePrefix="1" applyFont="1" applyBorder="1" applyAlignment="1">
      <alignment horizontal="left"/>
    </xf>
    <xf numFmtId="0" fontId="0" fillId="0" borderId="1" xfId="0" applyBorder="1" applyAlignment="1">
      <alignment horizontal="center"/>
    </xf>
    <xf numFmtId="2" fontId="0" fillId="0" borderId="1" xfId="0" applyNumberFormat="1" applyBorder="1" applyAlignment="1"/>
    <xf numFmtId="0" fontId="8" fillId="0" borderId="1" xfId="0" applyFont="1" applyBorder="1"/>
    <xf numFmtId="0" fontId="8" fillId="0" borderId="1" xfId="0" applyFont="1" applyFill="1" applyBorder="1"/>
    <xf numFmtId="2" fontId="9" fillId="0" borderId="1" xfId="0" applyNumberFormat="1" applyFont="1" applyBorder="1"/>
    <xf numFmtId="2" fontId="9" fillId="0" borderId="0" xfId="0" applyNumberFormat="1" applyFont="1" applyBorder="1"/>
    <xf numFmtId="2" fontId="0" fillId="0" borderId="0" xfId="0" applyNumberFormat="1" applyFill="1" applyBorder="1"/>
    <xf numFmtId="164" fontId="0" fillId="0" borderId="0" xfId="0" applyNumberFormat="1" applyFill="1" applyBorder="1"/>
    <xf numFmtId="0" fontId="0" fillId="0" borderId="5" xfId="0" applyBorder="1"/>
    <xf numFmtId="0" fontId="21" fillId="0" borderId="6" xfId="0" applyFont="1" applyBorder="1" applyAlignment="1">
      <alignment horizontal="center"/>
    </xf>
    <xf numFmtId="0" fontId="0" fillId="0" borderId="6" xfId="0" applyBorder="1"/>
    <xf numFmtId="0" fontId="0" fillId="0" borderId="7" xfId="0" applyBorder="1"/>
    <xf numFmtId="0" fontId="0" fillId="0" borderId="8" xfId="0" applyBorder="1"/>
    <xf numFmtId="2" fontId="19" fillId="0" borderId="0" xfId="0" applyNumberFormat="1" applyFont="1" applyBorder="1"/>
    <xf numFmtId="9" fontId="38" fillId="10" borderId="1" xfId="0" applyNumberFormat="1" applyFont="1" applyFill="1" applyBorder="1"/>
    <xf numFmtId="0" fontId="0" fillId="2" borderId="14" xfId="0" applyFill="1" applyBorder="1"/>
    <xf numFmtId="164" fontId="0" fillId="0" borderId="1" xfId="0" applyNumberFormat="1" applyBorder="1" applyAlignment="1">
      <alignment horizontal="center"/>
    </xf>
    <xf numFmtId="2" fontId="23" fillId="8" borderId="1" xfId="0" applyNumberFormat="1" applyFont="1" applyFill="1" applyBorder="1"/>
    <xf numFmtId="2" fontId="23" fillId="0" borderId="1" xfId="0" applyNumberFormat="1" applyFont="1" applyBorder="1"/>
    <xf numFmtId="164" fontId="38" fillId="0" borderId="1" xfId="0" applyNumberFormat="1" applyFont="1" applyBorder="1"/>
    <xf numFmtId="0" fontId="0" fillId="11" borderId="1" xfId="0" applyFill="1" applyBorder="1"/>
    <xf numFmtId="0" fontId="39" fillId="11" borderId="1" xfId="0" applyFont="1" applyFill="1" applyBorder="1" applyAlignment="1">
      <alignment vertical="center"/>
    </xf>
    <xf numFmtId="2" fontId="0" fillId="0" borderId="1" xfId="0" applyNumberFormat="1" applyBorder="1" applyAlignment="1">
      <alignment horizontal="center"/>
    </xf>
    <xf numFmtId="0" fontId="40" fillId="2" borderId="1" xfId="0" applyFont="1" applyFill="1" applyBorder="1"/>
    <xf numFmtId="0" fontId="19" fillId="2" borderId="1" xfId="0" applyFont="1" applyFill="1" applyBorder="1"/>
    <xf numFmtId="0" fontId="0" fillId="0" borderId="10" xfId="0" applyBorder="1"/>
    <xf numFmtId="0" fontId="0" fillId="2" borderId="1" xfId="0" applyFill="1" applyBorder="1"/>
    <xf numFmtId="9" fontId="4" fillId="10" borderId="1" xfId="0" applyNumberFormat="1" applyFont="1" applyFill="1" applyBorder="1"/>
    <xf numFmtId="2" fontId="8" fillId="2" borderId="1" xfId="0" applyNumberFormat="1" applyFont="1" applyFill="1" applyBorder="1" applyAlignment="1">
      <alignment horizontal="center"/>
    </xf>
    <xf numFmtId="1" fontId="3" fillId="0" borderId="0" xfId="0" applyNumberFormat="1" applyFont="1"/>
    <xf numFmtId="164" fontId="41" fillId="0" borderId="1" xfId="0" applyNumberFormat="1" applyFont="1" applyBorder="1"/>
    <xf numFmtId="0" fontId="3" fillId="10" borderId="1" xfId="0" quotePrefix="1" applyFont="1" applyFill="1" applyBorder="1" applyAlignment="1">
      <alignment horizontal="left"/>
    </xf>
    <xf numFmtId="0" fontId="0" fillId="10" borderId="1" xfId="0" applyFill="1" applyBorder="1"/>
    <xf numFmtId="1" fontId="3" fillId="10" borderId="1" xfId="0" applyNumberFormat="1" applyFont="1" applyFill="1" applyBorder="1"/>
    <xf numFmtId="0" fontId="37" fillId="2" borderId="1" xfId="0" applyFont="1" applyFill="1" applyBorder="1"/>
    <xf numFmtId="2" fontId="19" fillId="2" borderId="1" xfId="0" applyNumberFormat="1" applyFont="1" applyFill="1" applyBorder="1"/>
    <xf numFmtId="0" fontId="42" fillId="0" borderId="1" xfId="0" applyFont="1" applyBorder="1"/>
    <xf numFmtId="2" fontId="8" fillId="2" borderId="1" xfId="0" applyNumberFormat="1" applyFont="1" applyFill="1" applyBorder="1"/>
    <xf numFmtId="0" fontId="38" fillId="0" borderId="8" xfId="0" applyFont="1" applyBorder="1"/>
    <xf numFmtId="2" fontId="38" fillId="0" borderId="9" xfId="0" applyNumberFormat="1" applyFont="1" applyBorder="1" applyAlignment="1">
      <alignment horizontal="center"/>
    </xf>
    <xf numFmtId="0" fontId="43" fillId="0" borderId="8" xfId="0" applyFont="1" applyBorder="1"/>
    <xf numFmtId="2" fontId="43" fillId="0" borderId="9" xfId="0" applyNumberFormat="1" applyFont="1" applyBorder="1" applyAlignment="1">
      <alignment horizontal="center"/>
    </xf>
    <xf numFmtId="2" fontId="41" fillId="0" borderId="1" xfId="0" applyNumberFormat="1" applyFont="1" applyBorder="1"/>
    <xf numFmtId="0" fontId="9" fillId="0" borderId="5" xfId="0" applyFont="1" applyBorder="1" applyAlignment="1">
      <alignment horizontal="center"/>
    </xf>
    <xf numFmtId="0" fontId="9" fillId="0" borderId="7" xfId="0" applyFont="1" applyBorder="1" applyAlignment="1">
      <alignment horizontal="center"/>
    </xf>
    <xf numFmtId="0" fontId="40" fillId="0" borderId="1" xfId="0" applyFont="1" applyBorder="1" applyAlignment="1">
      <alignment horizontal="right"/>
    </xf>
    <xf numFmtId="2" fontId="40" fillId="0" borderId="1" xfId="0" applyNumberFormat="1" applyFont="1" applyBorder="1" applyAlignment="1">
      <alignment horizontal="right"/>
    </xf>
    <xf numFmtId="0" fontId="43" fillId="0" borderId="1" xfId="0" applyFont="1" applyBorder="1" applyAlignment="1">
      <alignment horizontal="right" wrapText="1"/>
    </xf>
    <xf numFmtId="0" fontId="40" fillId="0" borderId="1" xfId="0" applyFont="1" applyFill="1" applyBorder="1" applyAlignment="1">
      <alignment horizontal="right"/>
    </xf>
    <xf numFmtId="0" fontId="0" fillId="0" borderId="9" xfId="0" applyBorder="1"/>
    <xf numFmtId="0" fontId="19" fillId="0" borderId="1" xfId="0" applyFont="1" applyBorder="1"/>
    <xf numFmtId="2" fontId="19" fillId="0" borderId="1" xfId="0" applyNumberFormat="1" applyFont="1" applyBorder="1"/>
    <xf numFmtId="2" fontId="0" fillId="0" borderId="1" xfId="0" applyNumberFormat="1" applyBorder="1"/>
    <xf numFmtId="0" fontId="40" fillId="0" borderId="0" xfId="0" applyFont="1" applyBorder="1" applyAlignment="1">
      <alignment horizontal="right"/>
    </xf>
    <xf numFmtId="2" fontId="40" fillId="0" borderId="0" xfId="0" applyNumberFormat="1" applyFont="1" applyBorder="1" applyAlignment="1">
      <alignment horizontal="right"/>
    </xf>
    <xf numFmtId="0" fontId="40" fillId="0" borderId="0" xfId="0" applyFont="1" applyFill="1" applyBorder="1" applyAlignment="1">
      <alignment horizontal="right"/>
    </xf>
    <xf numFmtId="0" fontId="0" fillId="0" borderId="12" xfId="0" applyBorder="1"/>
    <xf numFmtId="0" fontId="14" fillId="0" borderId="1" xfId="0" applyFont="1" applyBorder="1"/>
    <xf numFmtId="0" fontId="0" fillId="0" borderId="1" xfId="0" applyBorder="1" applyProtection="1">
      <protection locked="0"/>
    </xf>
    <xf numFmtId="2" fontId="8" fillId="0" borderId="1" xfId="0" applyNumberFormat="1" applyFont="1" applyBorder="1" applyProtection="1">
      <protection locked="0"/>
    </xf>
    <xf numFmtId="2" fontId="0" fillId="0" borderId="1" xfId="0" applyNumberFormat="1" applyBorder="1" applyProtection="1">
      <protection locked="0"/>
    </xf>
    <xf numFmtId="0" fontId="0" fillId="0" borderId="1" xfId="0" applyFill="1" applyBorder="1" applyAlignment="1">
      <alignment horizontal="center"/>
    </xf>
    <xf numFmtId="2" fontId="5" fillId="0" borderId="1" xfId="0" applyNumberFormat="1" applyFont="1" applyBorder="1" applyProtection="1">
      <protection locked="0"/>
    </xf>
    <xf numFmtId="1" fontId="0" fillId="2" borderId="1" xfId="0" applyNumberFormat="1" applyFill="1" applyBorder="1" applyProtection="1">
      <protection locked="0"/>
    </xf>
    <xf numFmtId="0" fontId="0" fillId="2" borderId="1" xfId="0" applyFill="1" applyBorder="1" applyProtection="1">
      <protection locked="0"/>
    </xf>
    <xf numFmtId="0" fontId="9" fillId="2" borderId="1" xfId="0" applyFont="1" applyFill="1" applyBorder="1" applyProtection="1">
      <protection locked="0"/>
    </xf>
    <xf numFmtId="164" fontId="9" fillId="2" borderId="1" xfId="0" applyNumberFormat="1" applyFont="1" applyFill="1" applyBorder="1" applyProtection="1">
      <protection locked="0"/>
    </xf>
    <xf numFmtId="0" fontId="36" fillId="0" borderId="0" xfId="0" quotePrefix="1" applyFont="1" applyAlignment="1">
      <alignment horizontal="left"/>
    </xf>
    <xf numFmtId="0" fontId="31" fillId="0" borderId="0" xfId="0" quotePrefix="1" applyFont="1" applyAlignment="1">
      <alignment horizontal="left"/>
    </xf>
    <xf numFmtId="0" fontId="45" fillId="0" borderId="14" xfId="0" applyFont="1" applyBorder="1"/>
    <xf numFmtId="0" fontId="43" fillId="0" borderId="1" xfId="0" applyFont="1" applyBorder="1" applyAlignment="1">
      <alignment horizontal="center"/>
    </xf>
    <xf numFmtId="0" fontId="37" fillId="0" borderId="5" xfId="0" applyFont="1" applyBorder="1"/>
    <xf numFmtId="2" fontId="37" fillId="0" borderId="6" xfId="0" applyNumberFormat="1" applyFont="1" applyBorder="1"/>
    <xf numFmtId="2" fontId="37" fillId="9" borderId="6" xfId="0" applyNumberFormat="1" applyFont="1" applyFill="1" applyBorder="1"/>
    <xf numFmtId="0" fontId="45" fillId="0" borderId="1" xfId="0" applyFont="1" applyBorder="1"/>
    <xf numFmtId="0" fontId="45" fillId="0" borderId="1" xfId="0" applyFont="1" applyBorder="1" applyAlignment="1">
      <alignment horizontal="center"/>
    </xf>
    <xf numFmtId="0" fontId="37" fillId="0" borderId="8" xfId="0" quotePrefix="1" applyFont="1" applyBorder="1" applyAlignment="1">
      <alignment horizontal="left"/>
    </xf>
    <xf numFmtId="2" fontId="37" fillId="0" borderId="0" xfId="0" applyNumberFormat="1" applyFont="1" applyBorder="1"/>
    <xf numFmtId="2" fontId="45" fillId="0" borderId="1" xfId="0" applyNumberFormat="1" applyFont="1" applyBorder="1"/>
    <xf numFmtId="2" fontId="45" fillId="0" borderId="1" xfId="0" applyNumberFormat="1" applyFont="1" applyBorder="1" applyAlignment="1">
      <alignment horizontal="center"/>
    </xf>
    <xf numFmtId="2" fontId="0" fillId="0" borderId="9" xfId="0" applyNumberFormat="1" applyBorder="1" applyAlignment="1"/>
    <xf numFmtId="0" fontId="37" fillId="0" borderId="10" xfId="0" quotePrefix="1" applyFont="1" applyBorder="1" applyAlignment="1">
      <alignment horizontal="left"/>
    </xf>
    <xf numFmtId="2" fontId="37" fillId="0" borderId="11" xfId="0" applyNumberFormat="1" applyFont="1" applyBorder="1"/>
    <xf numFmtId="2" fontId="43" fillId="0" borderId="1" xfId="0" applyNumberFormat="1" applyFont="1" applyBorder="1" applyAlignment="1">
      <alignment horizontal="center"/>
    </xf>
    <xf numFmtId="0" fontId="0" fillId="2" borderId="0" xfId="0" applyFill="1"/>
    <xf numFmtId="2" fontId="14" fillId="0" borderId="1" xfId="0" applyNumberFormat="1" applyFont="1" applyBorder="1"/>
    <xf numFmtId="164" fontId="0" fillId="0" borderId="0" xfId="0" applyNumberFormat="1"/>
    <xf numFmtId="0" fontId="38" fillId="0" borderId="1" xfId="0" applyFont="1" applyBorder="1"/>
    <xf numFmtId="2" fontId="9" fillId="0" borderId="3" xfId="0" applyNumberFormat="1" applyFont="1" applyBorder="1" applyAlignment="1">
      <alignment horizontal="center"/>
    </xf>
    <xf numFmtId="2" fontId="23" fillId="8" borderId="1" xfId="0" applyNumberFormat="1" applyFont="1" applyFill="1" applyBorder="1" applyAlignment="1">
      <alignment horizontal="center"/>
    </xf>
    <xf numFmtId="0" fontId="23" fillId="8" borderId="1" xfId="0" applyFont="1" applyFill="1" applyBorder="1" applyAlignment="1">
      <alignment horizontal="center"/>
    </xf>
    <xf numFmtId="2" fontId="3" fillId="0" borderId="0" xfId="0" applyNumberFormat="1" applyFont="1"/>
    <xf numFmtId="0" fontId="45" fillId="0" borderId="0" xfId="0" applyFont="1" applyFill="1" applyBorder="1" applyAlignment="1">
      <alignment horizontal="left"/>
    </xf>
    <xf numFmtId="0" fontId="0" fillId="2" borderId="1" xfId="0" applyFill="1" applyBorder="1" applyAlignment="1">
      <alignment horizontal="center"/>
    </xf>
    <xf numFmtId="2" fontId="0" fillId="2" borderId="1" xfId="0" applyNumberFormat="1" applyFill="1" applyBorder="1" applyAlignment="1">
      <alignment horizontal="center"/>
    </xf>
    <xf numFmtId="1" fontId="19" fillId="12" borderId="1" xfId="0" applyNumberFormat="1" applyFont="1" applyFill="1" applyBorder="1" applyAlignment="1">
      <alignment horizontal="center"/>
    </xf>
    <xf numFmtId="0" fontId="0" fillId="12" borderId="1" xfId="0" applyFill="1" applyBorder="1" applyAlignment="1">
      <alignment horizontal="center"/>
    </xf>
    <xf numFmtId="0" fontId="46" fillId="0" borderId="1" xfId="0" applyFont="1" applyBorder="1" applyAlignment="1">
      <alignment horizontal="center"/>
    </xf>
    <xf numFmtId="0" fontId="46" fillId="0" borderId="1" xfId="0" applyFont="1" applyBorder="1"/>
    <xf numFmtId="0" fontId="0" fillId="0" borderId="16" xfId="0" applyBorder="1" applyAlignment="1">
      <alignment horizontal="center"/>
    </xf>
    <xf numFmtId="2" fontId="0" fillId="0" borderId="9" xfId="0" applyNumberFormat="1" applyBorder="1"/>
    <xf numFmtId="0" fontId="0" fillId="0" borderId="0" xfId="0" applyFill="1" applyBorder="1"/>
    <xf numFmtId="0" fontId="14" fillId="0" borderId="6" xfId="0" quotePrefix="1" applyFont="1" applyBorder="1" applyAlignment="1">
      <alignment horizontal="center"/>
    </xf>
    <xf numFmtId="0" fontId="19" fillId="0" borderId="8" xfId="0" applyFont="1" applyBorder="1"/>
    <xf numFmtId="0" fontId="19" fillId="0" borderId="9" xfId="0" applyFont="1" applyBorder="1" applyAlignment="1">
      <alignment horizontal="center"/>
    </xf>
    <xf numFmtId="0" fontId="19" fillId="0" borderId="10" xfId="0" applyFont="1" applyBorder="1"/>
    <xf numFmtId="0" fontId="14" fillId="0" borderId="12" xfId="0" quotePrefix="1" applyFont="1" applyBorder="1" applyAlignment="1">
      <alignment horizontal="left"/>
    </xf>
    <xf numFmtId="0" fontId="47" fillId="0" borderId="0" xfId="0" applyFont="1" applyBorder="1" applyAlignment="1">
      <alignment horizontal="centerContinuous"/>
    </xf>
    <xf numFmtId="0" fontId="47" fillId="0" borderId="0" xfId="0" applyFont="1" applyBorder="1"/>
    <xf numFmtId="0" fontId="48" fillId="0" borderId="0" xfId="0" applyFont="1" applyAlignment="1">
      <alignment horizontal="left"/>
    </xf>
    <xf numFmtId="0" fontId="48" fillId="0" borderId="0" xfId="0" applyFont="1"/>
    <xf numFmtId="0" fontId="49" fillId="0" borderId="0" xfId="0" applyFont="1"/>
    <xf numFmtId="2" fontId="50" fillId="0" borderId="0" xfId="0" applyNumberFormat="1" applyFont="1" applyAlignment="1">
      <alignment horizontal="center"/>
    </xf>
    <xf numFmtId="0" fontId="4" fillId="0" borderId="0" xfId="0" applyFont="1"/>
    <xf numFmtId="0" fontId="51" fillId="0" borderId="0" xfId="0" applyFont="1" applyAlignment="1">
      <alignment horizontal="center"/>
    </xf>
    <xf numFmtId="0" fontId="52" fillId="0" borderId="0" xfId="0" applyFont="1"/>
    <xf numFmtId="0" fontId="53" fillId="0" borderId="0" xfId="0" applyFont="1"/>
    <xf numFmtId="2" fontId="54" fillId="0" borderId="0" xfId="0" applyNumberFormat="1" applyFont="1" applyAlignment="1">
      <alignment horizontal="center"/>
    </xf>
    <xf numFmtId="2" fontId="33" fillId="0" borderId="0" xfId="0" applyNumberFormat="1" applyFont="1" applyAlignment="1">
      <alignment horizontal="center"/>
    </xf>
    <xf numFmtId="2" fontId="33" fillId="0" borderId="0" xfId="0" applyNumberFormat="1" applyFont="1" applyAlignment="1">
      <alignment horizontal="left"/>
    </xf>
    <xf numFmtId="0" fontId="34" fillId="0" borderId="0" xfId="0" applyFont="1"/>
    <xf numFmtId="0" fontId="33" fillId="0" borderId="0" xfId="0" quotePrefix="1" applyFont="1" applyAlignment="1">
      <alignment horizontal="left"/>
    </xf>
    <xf numFmtId="2" fontId="2" fillId="0" borderId="0" xfId="0" applyNumberFormat="1" applyFont="1" applyAlignment="1">
      <alignment horizontal="center"/>
    </xf>
    <xf numFmtId="0" fontId="33" fillId="0" borderId="0" xfId="0" applyFont="1" applyBorder="1"/>
    <xf numFmtId="2" fontId="55" fillId="10" borderId="1" xfId="0" applyNumberFormat="1" applyFont="1" applyFill="1" applyBorder="1" applyAlignment="1">
      <alignment horizontal="center"/>
    </xf>
    <xf numFmtId="0" fontId="33" fillId="0" borderId="0" xfId="0" quotePrefix="1" applyFont="1" applyAlignment="1">
      <alignment horizontal="right"/>
    </xf>
    <xf numFmtId="0" fontId="56" fillId="0" borderId="0" xfId="0" applyFont="1"/>
    <xf numFmtId="2" fontId="55" fillId="0" borderId="0" xfId="0" applyNumberFormat="1" applyFont="1" applyAlignment="1">
      <alignment horizontal="center"/>
    </xf>
    <xf numFmtId="2" fontId="33" fillId="0" borderId="0" xfId="0" applyNumberFormat="1" applyFont="1"/>
    <xf numFmtId="2" fontId="33" fillId="0" borderId="0" xfId="0" quotePrefix="1" applyNumberFormat="1" applyFont="1" applyAlignment="1">
      <alignment horizontal="center"/>
    </xf>
    <xf numFmtId="0" fontId="34" fillId="0" borderId="0" xfId="0" applyFont="1" applyAlignment="1">
      <alignment horizontal="left"/>
    </xf>
    <xf numFmtId="0" fontId="57" fillId="0" borderId="0" xfId="0" quotePrefix="1" applyFont="1" applyBorder="1" applyAlignment="1">
      <alignment horizontal="left"/>
    </xf>
    <xf numFmtId="0" fontId="33" fillId="0" borderId="0" xfId="0" applyFont="1" applyBorder="1" applyAlignment="1">
      <alignment horizontal="centerContinuous"/>
    </xf>
    <xf numFmtId="0" fontId="33" fillId="0" borderId="0" xfId="0" quotePrefix="1" applyFont="1" applyBorder="1" applyAlignment="1">
      <alignment horizontal="left"/>
    </xf>
    <xf numFmtId="2" fontId="9" fillId="0" borderId="0" xfId="0" applyNumberFormat="1" applyFont="1" applyBorder="1" applyAlignment="1">
      <alignment horizontal="center"/>
    </xf>
    <xf numFmtId="0" fontId="58" fillId="0" borderId="1" xfId="0" quotePrefix="1" applyFont="1" applyBorder="1" applyAlignment="1">
      <alignment horizontal="center" vertical="center"/>
    </xf>
    <xf numFmtId="0" fontId="58" fillId="0" borderId="1" xfId="0" applyFon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top"/>
    </xf>
    <xf numFmtId="0" fontId="0" fillId="0" borderId="0" xfId="0" applyBorder="1" applyAlignment="1">
      <alignment vertical="top"/>
    </xf>
    <xf numFmtId="0" fontId="0" fillId="0" borderId="0" xfId="0" applyAlignment="1">
      <alignment vertical="top"/>
    </xf>
    <xf numFmtId="0" fontId="3" fillId="0" borderId="0" xfId="0" quotePrefix="1" applyFont="1" applyBorder="1" applyAlignment="1">
      <alignment horizontal="left" vertical="top"/>
    </xf>
    <xf numFmtId="0" fontId="0" fillId="0" borderId="0" xfId="0" applyBorder="1" applyAlignment="1">
      <alignment horizontal="center" vertical="top" wrapText="1"/>
    </xf>
    <xf numFmtId="2" fontId="0" fillId="0" borderId="0" xfId="0" applyNumberFormat="1" applyBorder="1" applyAlignment="1">
      <alignment vertical="top"/>
    </xf>
    <xf numFmtId="1" fontId="0" fillId="0" borderId="0" xfId="0" applyNumberFormat="1" applyBorder="1" applyAlignment="1">
      <alignment vertical="top"/>
    </xf>
    <xf numFmtId="16" fontId="0" fillId="0" borderId="0" xfId="0" quotePrefix="1" applyNumberFormat="1" applyBorder="1" applyAlignment="1">
      <alignment horizontal="left" vertical="top"/>
    </xf>
    <xf numFmtId="0" fontId="0" fillId="0" borderId="0" xfId="0" quotePrefix="1" applyBorder="1" applyAlignment="1">
      <alignment horizontal="left" vertical="top"/>
    </xf>
    <xf numFmtId="0" fontId="11" fillId="0" borderId="0" xfId="0" quotePrefix="1" applyFont="1" applyBorder="1" applyAlignment="1">
      <alignment horizontal="left" vertical="top"/>
    </xf>
    <xf numFmtId="0" fontId="35" fillId="0" borderId="0" xfId="0" applyFont="1" applyBorder="1" applyAlignment="1">
      <alignment horizontal="center" vertical="top" wrapText="1"/>
    </xf>
    <xf numFmtId="2" fontId="13" fillId="0" borderId="0" xfId="0" applyNumberFormat="1" applyFont="1" applyBorder="1" applyAlignment="1">
      <alignment vertical="top"/>
    </xf>
    <xf numFmtId="0" fontId="3" fillId="0" borderId="0" xfId="0" applyFont="1" applyBorder="1" applyAlignment="1">
      <alignment vertical="top"/>
    </xf>
    <xf numFmtId="2" fontId="0" fillId="0" borderId="0" xfId="0" applyNumberFormat="1" applyBorder="1" applyAlignment="1">
      <alignment horizontal="right" vertical="top"/>
    </xf>
    <xf numFmtId="0" fontId="11" fillId="0" borderId="0" xfId="0" applyFont="1" applyBorder="1" applyAlignment="1">
      <alignment horizontal="center" vertical="top"/>
    </xf>
    <xf numFmtId="2" fontId="14" fillId="10" borderId="1" xfId="0" applyNumberFormat="1" applyFont="1" applyFill="1" applyBorder="1" applyAlignment="1">
      <alignment vertical="top"/>
    </xf>
    <xf numFmtId="2" fontId="3" fillId="0" borderId="0" xfId="0" applyNumberFormat="1" applyFont="1" applyBorder="1" applyAlignment="1">
      <alignment horizontal="center" vertical="top"/>
    </xf>
    <xf numFmtId="2" fontId="0" fillId="0" borderId="0" xfId="0" applyNumberFormat="1" applyBorder="1" applyAlignment="1">
      <alignment horizontal="center" vertical="top"/>
    </xf>
    <xf numFmtId="0" fontId="19" fillId="8" borderId="1" xfId="0" applyFont="1" applyFill="1" applyBorder="1" applyAlignment="1">
      <alignment vertical="top"/>
    </xf>
    <xf numFmtId="0" fontId="19" fillId="8" borderId="1" xfId="0" quotePrefix="1" applyFont="1" applyFill="1" applyBorder="1" applyAlignment="1">
      <alignment vertical="top"/>
    </xf>
    <xf numFmtId="0" fontId="0" fillId="0" borderId="0" xfId="0" applyBorder="1" applyAlignment="1">
      <alignment horizontal="left" vertical="top"/>
    </xf>
    <xf numFmtId="0" fontId="9" fillId="0" borderId="0" xfId="0" applyFont="1" applyBorder="1" applyAlignment="1">
      <alignment horizontal="center" vertical="top"/>
    </xf>
    <xf numFmtId="166" fontId="2" fillId="0" borderId="2" xfId="0" applyNumberFormat="1" applyFont="1" applyBorder="1" applyAlignment="1">
      <alignment horizontal="right" vertical="top"/>
    </xf>
    <xf numFmtId="167" fontId="0" fillId="0" borderId="0" xfId="0" applyNumberFormat="1" applyAlignment="1">
      <alignment vertical="top"/>
    </xf>
    <xf numFmtId="1" fontId="0" fillId="0" borderId="0" xfId="0" applyNumberFormat="1" applyAlignment="1">
      <alignment vertical="top"/>
    </xf>
    <xf numFmtId="0" fontId="59" fillId="0" borderId="0" xfId="0" applyFont="1"/>
    <xf numFmtId="0" fontId="59" fillId="0" borderId="0" xfId="0" applyFont="1" applyBorder="1" applyAlignment="1" applyProtection="1">
      <alignment horizontal="center"/>
    </xf>
    <xf numFmtId="0" fontId="59" fillId="0" borderId="0" xfId="0" applyFont="1" applyBorder="1"/>
    <xf numFmtId="168" fontId="59" fillId="0" borderId="0" xfId="0" applyNumberFormat="1" applyFont="1" applyBorder="1" applyAlignment="1" applyProtection="1">
      <alignment horizontal="right"/>
    </xf>
    <xf numFmtId="168" fontId="59" fillId="0" borderId="0" xfId="0" applyNumberFormat="1" applyFont="1" applyProtection="1"/>
    <xf numFmtId="0" fontId="59" fillId="0" borderId="0" xfId="0" applyFont="1" applyBorder="1" applyProtection="1"/>
    <xf numFmtId="1" fontId="59" fillId="0" borderId="0" xfId="0" applyNumberFormat="1" applyFont="1" applyBorder="1" applyAlignment="1">
      <alignment horizontal="right"/>
    </xf>
    <xf numFmtId="0" fontId="59" fillId="0" borderId="0" xfId="0" applyFont="1" applyBorder="1" applyAlignment="1">
      <alignment horizontal="center"/>
    </xf>
    <xf numFmtId="0" fontId="0" fillId="0" borderId="0" xfId="0" applyBorder="1" applyAlignment="1">
      <alignment horizontal="center"/>
    </xf>
    <xf numFmtId="0" fontId="40" fillId="0" borderId="0" xfId="0" quotePrefix="1" applyFont="1" applyBorder="1" applyAlignment="1"/>
    <xf numFmtId="0" fontId="0" fillId="0" borderId="0" xfId="0" quotePrefix="1" applyBorder="1" applyAlignment="1"/>
    <xf numFmtId="1" fontId="0" fillId="0" borderId="0" xfId="0" applyNumberFormat="1"/>
    <xf numFmtId="1" fontId="9" fillId="0" borderId="0" xfId="0" applyNumberFormat="1" applyFont="1" applyBorder="1"/>
    <xf numFmtId="0" fontId="9" fillId="0" borderId="0" xfId="0" quotePrefix="1" applyFont="1" applyBorder="1" applyAlignment="1">
      <alignment horizontal="left"/>
    </xf>
    <xf numFmtId="2" fontId="0" fillId="0" borderId="0" xfId="0" applyNumberFormat="1" applyBorder="1" applyAlignment="1">
      <alignment horizontal="left"/>
    </xf>
    <xf numFmtId="0" fontId="58" fillId="0" borderId="0" xfId="0" applyFont="1" applyBorder="1" applyAlignment="1">
      <alignment horizontal="left"/>
    </xf>
    <xf numFmtId="0" fontId="58" fillId="0" borderId="0" xfId="0" applyFont="1" applyBorder="1"/>
    <xf numFmtId="0" fontId="60" fillId="0" borderId="0" xfId="0" applyFont="1" applyAlignment="1">
      <alignment horizontal="left"/>
    </xf>
    <xf numFmtId="0" fontId="60" fillId="0" borderId="0" xfId="0" applyFont="1"/>
    <xf numFmtId="2" fontId="9" fillId="0" borderId="0" xfId="0" applyNumberFormat="1" applyFont="1" applyAlignment="1">
      <alignment horizontal="center"/>
    </xf>
    <xf numFmtId="0" fontId="19" fillId="0" borderId="0" xfId="0" applyFont="1"/>
    <xf numFmtId="2" fontId="6" fillId="2" borderId="1" xfId="0" applyNumberFormat="1" applyFont="1" applyFill="1" applyBorder="1" applyAlignment="1">
      <alignment horizontal="center"/>
    </xf>
    <xf numFmtId="0" fontId="5" fillId="0" borderId="0" xfId="0" quotePrefix="1" applyFont="1" applyAlignment="1">
      <alignment horizontal="right"/>
    </xf>
    <xf numFmtId="2" fontId="6" fillId="10" borderId="1" xfId="0" applyNumberFormat="1" applyFont="1" applyFill="1" applyBorder="1" applyAlignment="1">
      <alignment horizontal="center"/>
    </xf>
    <xf numFmtId="0" fontId="8" fillId="0" borderId="0" xfId="0" applyFont="1" applyAlignment="1">
      <alignment horizontal="left"/>
    </xf>
    <xf numFmtId="0" fontId="61" fillId="0" borderId="0" xfId="0" quotePrefix="1" applyFont="1" applyBorder="1" applyAlignment="1">
      <alignment horizontal="left"/>
    </xf>
    <xf numFmtId="0" fontId="5" fillId="0" borderId="0" xfId="0" applyFont="1" applyBorder="1" applyAlignment="1">
      <alignment horizontal="centerContinuous"/>
    </xf>
    <xf numFmtId="0" fontId="5" fillId="0" borderId="0" xfId="0" applyFont="1" applyBorder="1" applyAlignment="1">
      <alignment horizontal="left"/>
    </xf>
    <xf numFmtId="0" fontId="15" fillId="0" borderId="0" xfId="0" quotePrefix="1" applyFont="1" applyBorder="1" applyAlignment="1">
      <alignment horizontal="left"/>
    </xf>
    <xf numFmtId="2" fontId="9" fillId="0" borderId="0" xfId="0" applyNumberFormat="1" applyFont="1" applyBorder="1" applyAlignment="1">
      <alignment horizontal="right"/>
    </xf>
    <xf numFmtId="0" fontId="58" fillId="0" borderId="1" xfId="0" quotePrefix="1" applyFont="1" applyBorder="1" applyAlignment="1">
      <alignment horizontal="left"/>
    </xf>
    <xf numFmtId="0" fontId="58" fillId="0" borderId="1" xfId="0" applyFont="1" applyBorder="1"/>
    <xf numFmtId="0" fontId="58" fillId="0" borderId="1" xfId="0" applyFont="1" applyBorder="1" applyAlignment="1">
      <alignment horizontal="center"/>
    </xf>
    <xf numFmtId="0" fontId="0" fillId="0" borderId="0" xfId="0" applyBorder="1" applyAlignment="1"/>
    <xf numFmtId="0" fontId="3" fillId="0" borderId="0" xfId="0" quotePrefix="1" applyFont="1" applyBorder="1" applyAlignment="1">
      <alignment horizontal="left"/>
    </xf>
    <xf numFmtId="2" fontId="0" fillId="0" borderId="0" xfId="0" applyNumberFormat="1" applyBorder="1" applyAlignment="1">
      <alignment horizontal="right"/>
    </xf>
    <xf numFmtId="2" fontId="13" fillId="0" borderId="0" xfId="0" applyNumberFormat="1" applyFont="1" applyBorder="1"/>
    <xf numFmtId="2" fontId="14" fillId="10" borderId="1" xfId="0" applyNumberFormat="1" applyFont="1" applyFill="1" applyBorder="1"/>
    <xf numFmtId="0" fontId="19" fillId="0" borderId="0" xfId="0" quotePrefix="1" applyFont="1" applyBorder="1" applyAlignment="1"/>
    <xf numFmtId="0" fontId="13" fillId="0" borderId="0" xfId="0" applyFont="1" applyBorder="1" applyAlignment="1">
      <alignment horizontal="left"/>
    </xf>
    <xf numFmtId="0" fontId="9" fillId="0" borderId="0" xfId="0" applyFont="1" applyBorder="1" applyAlignment="1">
      <alignment horizontal="center"/>
    </xf>
    <xf numFmtId="2" fontId="0" fillId="0" borderId="0" xfId="0" applyNumberFormat="1" applyAlignment="1">
      <alignment horizontal="left"/>
    </xf>
    <xf numFmtId="0" fontId="2" fillId="12" borderId="1" xfId="0" applyFont="1" applyFill="1" applyBorder="1"/>
    <xf numFmtId="165" fontId="2" fillId="12" borderId="1" xfId="0" applyNumberFormat="1" applyFont="1" applyFill="1" applyBorder="1" applyAlignment="1">
      <alignment horizontal="center"/>
    </xf>
    <xf numFmtId="0" fontId="33" fillId="0" borderId="0" xfId="0" applyFont="1" applyAlignment="1">
      <alignment horizontal="center"/>
    </xf>
    <xf numFmtId="0" fontId="34" fillId="0" borderId="1" xfId="0" quotePrefix="1" applyFont="1" applyBorder="1" applyAlignment="1">
      <alignment horizontal="left"/>
    </xf>
    <xf numFmtId="0" fontId="3" fillId="0" borderId="1" xfId="0" applyFont="1" applyBorder="1"/>
    <xf numFmtId="164" fontId="32" fillId="0" borderId="1" xfId="0" applyNumberFormat="1" applyFont="1" applyBorder="1" applyAlignment="1">
      <alignment horizontal="center"/>
    </xf>
    <xf numFmtId="2" fontId="3" fillId="8" borderId="1" xfId="0" applyNumberFormat="1" applyFont="1" applyFill="1" applyBorder="1"/>
    <xf numFmtId="0" fontId="3" fillId="2" borderId="0" xfId="0" applyFont="1" applyFill="1" applyAlignment="1">
      <alignment horizontal="center"/>
    </xf>
    <xf numFmtId="0" fontId="3" fillId="2" borderId="1" xfId="0" applyFont="1" applyFill="1" applyBorder="1"/>
    <xf numFmtId="2" fontId="32" fillId="9" borderId="1" xfId="0" applyNumberFormat="1" applyFont="1" applyFill="1" applyBorder="1" applyAlignment="1">
      <alignment horizontal="center"/>
    </xf>
    <xf numFmtId="0" fontId="32" fillId="9" borderId="1" xfId="0" applyFont="1" applyFill="1" applyBorder="1" applyAlignment="1">
      <alignment horizontal="center"/>
    </xf>
    <xf numFmtId="0" fontId="2" fillId="2" borderId="1" xfId="0" applyFont="1" applyFill="1" applyBorder="1" applyAlignment="1">
      <alignment horizontal="center"/>
    </xf>
    <xf numFmtId="1" fontId="46" fillId="8" borderId="1" xfId="0" applyNumberFormat="1" applyFont="1" applyFill="1" applyBorder="1" applyAlignment="1">
      <alignment horizontal="center"/>
    </xf>
    <xf numFmtId="0" fontId="3" fillId="2" borderId="0" xfId="0" applyFont="1" applyFill="1"/>
    <xf numFmtId="0" fontId="34" fillId="0" borderId="0" xfId="0" applyFont="1" applyAlignment="1">
      <alignment horizontal="center"/>
    </xf>
    <xf numFmtId="0" fontId="2" fillId="9" borderId="1" xfId="0" applyFont="1" applyFill="1" applyBorder="1" applyAlignment="1">
      <alignment horizontal="center"/>
    </xf>
    <xf numFmtId="165" fontId="55" fillId="0" borderId="0" xfId="0" applyNumberFormat="1" applyFont="1" applyAlignment="1">
      <alignment horizontal="left"/>
    </xf>
    <xf numFmtId="165" fontId="55" fillId="0" borderId="0" xfId="0" applyNumberFormat="1" applyFont="1"/>
    <xf numFmtId="165" fontId="2" fillId="0" borderId="0" xfId="0" applyNumberFormat="1" applyFont="1" applyAlignment="1">
      <alignment horizontal="center"/>
    </xf>
    <xf numFmtId="0" fontId="2" fillId="0" borderId="0" xfId="0" applyFont="1" applyAlignment="1">
      <alignment horizontal="centerContinuous"/>
    </xf>
    <xf numFmtId="0" fontId="32" fillId="0" borderId="0" xfId="0" applyFont="1"/>
    <xf numFmtId="165" fontId="32" fillId="0" borderId="0" xfId="0" applyNumberFormat="1" applyFont="1" applyAlignment="1">
      <alignment horizontal="center"/>
    </xf>
    <xf numFmtId="0" fontId="34" fillId="0" borderId="0" xfId="0" applyFont="1" applyBorder="1"/>
    <xf numFmtId="2" fontId="2" fillId="0" borderId="0" xfId="0" applyNumberFormat="1" applyFont="1" applyBorder="1" applyAlignment="1">
      <alignment horizontal="left"/>
    </xf>
    <xf numFmtId="0" fontId="62" fillId="0" borderId="1" xfId="0" applyFont="1" applyBorder="1" applyAlignment="1">
      <alignment horizontal="center"/>
    </xf>
    <xf numFmtId="0" fontId="62" fillId="0" borderId="0" xfId="0" applyFont="1"/>
    <xf numFmtId="0" fontId="3" fillId="0" borderId="15" xfId="0" applyFont="1" applyBorder="1"/>
    <xf numFmtId="0" fontId="3" fillId="0" borderId="0" xfId="0" applyFont="1" applyBorder="1" applyAlignment="1">
      <alignment horizontal="center" vertical="center"/>
    </xf>
    <xf numFmtId="0" fontId="2" fillId="0" borderId="0" xfId="0" applyFont="1" applyBorder="1" applyAlignment="1">
      <alignment vertical="justify"/>
    </xf>
    <xf numFmtId="0" fontId="3" fillId="0" borderId="0" xfId="0" quotePrefix="1" applyFont="1" applyBorder="1" applyAlignment="1">
      <alignment vertical="justify"/>
    </xf>
    <xf numFmtId="0" fontId="2" fillId="0" borderId="0" xfId="0" applyFont="1" applyBorder="1" applyAlignment="1">
      <alignment horizontal="justify" vertical="justify"/>
    </xf>
    <xf numFmtId="0" fontId="3" fillId="0" borderId="0" xfId="0" applyFont="1" applyBorder="1" applyAlignment="1">
      <alignment horizontal="justify" vertical="justify"/>
    </xf>
    <xf numFmtId="0" fontId="3" fillId="0" borderId="0" xfId="0" quotePrefix="1" applyFont="1" applyBorder="1" applyAlignment="1">
      <alignment horizontal="justify" vertical="justify"/>
    </xf>
    <xf numFmtId="0" fontId="34" fillId="0" borderId="0" xfId="0" applyFont="1" applyBorder="1" applyAlignment="1"/>
    <xf numFmtId="165" fontId="3" fillId="0" borderId="0" xfId="0" applyNumberFormat="1" applyFont="1" applyBorder="1"/>
    <xf numFmtId="1" fontId="3" fillId="0" borderId="0" xfId="0" applyNumberFormat="1" applyFont="1" applyBorder="1" applyAlignment="1">
      <alignment horizontal="center"/>
    </xf>
    <xf numFmtId="0" fontId="3" fillId="0" borderId="0" xfId="0" applyFont="1" applyBorder="1" applyAlignment="1"/>
    <xf numFmtId="0" fontId="3" fillId="0" borderId="0" xfId="0" applyFont="1" applyBorder="1" applyAlignment="1">
      <alignment horizontal="right"/>
    </xf>
    <xf numFmtId="2" fontId="3" fillId="0" borderId="0" xfId="0" applyNumberFormat="1" applyFont="1" applyBorder="1" applyAlignment="1">
      <alignment horizontal="center"/>
    </xf>
    <xf numFmtId="0" fontId="3" fillId="0" borderId="0" xfId="0" applyFont="1" applyBorder="1" applyAlignment="1">
      <alignment vertical="justify"/>
    </xf>
    <xf numFmtId="165" fontId="3" fillId="0" borderId="0" xfId="0" applyNumberFormat="1" applyFont="1" applyBorder="1" applyAlignment="1">
      <alignment horizontal="center"/>
    </xf>
    <xf numFmtId="1" fontId="4" fillId="0" borderId="0" xfId="0" applyNumberFormat="1" applyFont="1" applyBorder="1" applyAlignment="1">
      <alignment horizontal="center"/>
    </xf>
    <xf numFmtId="0" fontId="3" fillId="0" borderId="0" xfId="0" applyFont="1" applyBorder="1" applyAlignment="1">
      <alignment horizontal="center"/>
    </xf>
    <xf numFmtId="2" fontId="3" fillId="9" borderId="1" xfId="0" applyNumberFormat="1" applyFont="1" applyFill="1" applyBorder="1"/>
    <xf numFmtId="2" fontId="4" fillId="2" borderId="1" xfId="0" applyNumberFormat="1" applyFont="1" applyFill="1" applyBorder="1"/>
    <xf numFmtId="2" fontId="4" fillId="2" borderId="1" xfId="0" applyNumberFormat="1" applyFont="1" applyFill="1" applyBorder="1" applyAlignment="1">
      <alignment horizontal="right"/>
    </xf>
    <xf numFmtId="0" fontId="64" fillId="0" borderId="0" xfId="0" applyFont="1"/>
    <xf numFmtId="2" fontId="64" fillId="0" borderId="0" xfId="0" applyNumberFormat="1" applyFont="1"/>
    <xf numFmtId="0" fontId="66" fillId="9" borderId="1" xfId="0" quotePrefix="1" applyFont="1" applyFill="1" applyBorder="1" applyAlignment="1">
      <alignment horizontal="center"/>
    </xf>
    <xf numFmtId="0" fontId="66" fillId="0" borderId="0" xfId="0" applyFont="1" applyAlignment="1"/>
    <xf numFmtId="0" fontId="67" fillId="0" borderId="11" xfId="0" quotePrefix="1" applyFont="1" applyBorder="1" applyAlignment="1">
      <alignment horizontal="left"/>
    </xf>
    <xf numFmtId="0" fontId="64" fillId="0" borderId="11" xfId="0" applyFont="1" applyBorder="1"/>
    <xf numFmtId="0" fontId="68" fillId="0" borderId="11" xfId="0" applyFont="1" applyBorder="1"/>
    <xf numFmtId="2" fontId="65" fillId="0" borderId="11" xfId="0" applyNumberFormat="1" applyFont="1" applyBorder="1" applyAlignment="1">
      <alignment horizontal="center"/>
    </xf>
    <xf numFmtId="0" fontId="69" fillId="0" borderId="11" xfId="0" applyFont="1" applyBorder="1"/>
    <xf numFmtId="0" fontId="69" fillId="0" borderId="11" xfId="0" quotePrefix="1" applyFont="1" applyBorder="1" applyAlignment="1">
      <alignment horizontal="left"/>
    </xf>
    <xf numFmtId="0" fontId="69" fillId="0" borderId="11" xfId="0" applyFont="1" applyBorder="1" applyAlignment="1"/>
    <xf numFmtId="0" fontId="69" fillId="0" borderId="11" xfId="0" applyFont="1" applyBorder="1" applyAlignment="1">
      <alignment horizontal="center"/>
    </xf>
    <xf numFmtId="2" fontId="69" fillId="0" borderId="11" xfId="0" applyNumberFormat="1" applyFont="1" applyBorder="1" applyAlignment="1">
      <alignment horizontal="center"/>
    </xf>
    <xf numFmtId="0" fontId="64" fillId="0" borderId="0" xfId="0" applyFont="1" applyAlignment="1">
      <alignment horizontal="right"/>
    </xf>
    <xf numFmtId="0" fontId="64" fillId="0" borderId="0" xfId="0" quotePrefix="1" applyFont="1" applyAlignment="1">
      <alignment horizontal="left"/>
    </xf>
    <xf numFmtId="0" fontId="64" fillId="0" borderId="0" xfId="0" applyFont="1" applyAlignment="1">
      <alignment horizontal="left"/>
    </xf>
    <xf numFmtId="0" fontId="70" fillId="0" borderId="0" xfId="0" applyFont="1" applyAlignment="1">
      <alignment horizontal="center"/>
    </xf>
    <xf numFmtId="2" fontId="64" fillId="0" borderId="0" xfId="0" quotePrefix="1" applyNumberFormat="1" applyFont="1" applyAlignment="1">
      <alignment horizontal="center"/>
    </xf>
    <xf numFmtId="2" fontId="64" fillId="0" borderId="0" xfId="0" applyNumberFormat="1" applyFont="1" applyAlignment="1">
      <alignment horizontal="center"/>
    </xf>
    <xf numFmtId="2" fontId="64" fillId="0" borderId="0" xfId="0" applyNumberFormat="1" applyFont="1" applyAlignment="1">
      <alignment horizontal="right"/>
    </xf>
    <xf numFmtId="49" fontId="64" fillId="0" borderId="0" xfId="0" applyNumberFormat="1" applyFont="1" applyAlignment="1">
      <alignment horizontal="left"/>
    </xf>
    <xf numFmtId="164" fontId="64" fillId="0" borderId="0" xfId="0" applyNumberFormat="1" applyFont="1" applyAlignment="1">
      <alignment horizontal="right"/>
    </xf>
    <xf numFmtId="164" fontId="64" fillId="0" borderId="0" xfId="0" applyNumberFormat="1" applyFont="1"/>
    <xf numFmtId="0" fontId="64" fillId="0" borderId="0" xfId="0" quotePrefix="1" applyFont="1" applyAlignment="1">
      <alignment horizontal="center"/>
    </xf>
    <xf numFmtId="2" fontId="64" fillId="0" borderId="2" xfId="0" applyNumberFormat="1" applyFont="1" applyBorder="1"/>
    <xf numFmtId="0" fontId="64" fillId="0" borderId="0" xfId="0" applyFont="1" applyAlignment="1">
      <alignment horizontal="center"/>
    </xf>
    <xf numFmtId="1" fontId="64" fillId="0" borderId="0" xfId="0" applyNumberFormat="1" applyFont="1" applyAlignment="1">
      <alignment horizontal="center"/>
    </xf>
    <xf numFmtId="0" fontId="65" fillId="0" borderId="0" xfId="0" applyFont="1" applyAlignment="1">
      <alignment horizontal="center"/>
    </xf>
    <xf numFmtId="0" fontId="65" fillId="0" borderId="0" xfId="0" quotePrefix="1" applyFont="1" applyAlignment="1">
      <alignment horizontal="center"/>
    </xf>
    <xf numFmtId="0" fontId="72" fillId="0" borderId="0" xfId="0" quotePrefix="1" applyFont="1" applyAlignment="1">
      <alignment horizontal="left"/>
    </xf>
    <xf numFmtId="0" fontId="64" fillId="0" borderId="0" xfId="0" quotePrefix="1" applyFont="1" applyAlignment="1">
      <alignment horizontal="right"/>
    </xf>
    <xf numFmtId="0" fontId="64" fillId="0" borderId="0" xfId="0" applyFont="1" applyAlignment="1">
      <alignment horizontal="right" vertical="top"/>
    </xf>
    <xf numFmtId="2" fontId="64" fillId="9" borderId="1" xfId="0" applyNumberFormat="1" applyFont="1" applyFill="1" applyBorder="1" applyAlignment="1">
      <alignment horizontal="right"/>
    </xf>
    <xf numFmtId="0" fontId="64" fillId="0" borderId="0" xfId="0" applyFont="1" applyAlignment="1">
      <alignment horizontal="left" vertical="top" wrapText="1"/>
    </xf>
    <xf numFmtId="1" fontId="3" fillId="0" borderId="0" xfId="0" applyNumberFormat="1" applyFont="1" applyBorder="1" applyAlignment="1">
      <alignment horizontal="right"/>
    </xf>
    <xf numFmtId="0" fontId="65" fillId="0" borderId="0" xfId="0" applyFont="1"/>
    <xf numFmtId="1" fontId="64" fillId="0" borderId="0" xfId="0" applyNumberFormat="1" applyFont="1"/>
    <xf numFmtId="0" fontId="5" fillId="0" borderId="11" xfId="0" applyFont="1" applyBorder="1" applyAlignment="1">
      <alignment horizontal="left"/>
    </xf>
    <xf numFmtId="2" fontId="9" fillId="0" borderId="11" xfId="0" applyNumberFormat="1" applyFont="1" applyBorder="1" applyAlignment="1">
      <alignment horizontal="center"/>
    </xf>
    <xf numFmtId="0" fontId="9" fillId="0" borderId="1" xfId="0" applyFont="1" applyBorder="1" applyAlignment="1">
      <alignment horizontal="center" vertical="center" wrapText="1"/>
    </xf>
    <xf numFmtId="0" fontId="13" fillId="0" borderId="0" xfId="0" applyFont="1" applyBorder="1" applyAlignment="1">
      <alignment horizontal="center" vertical="top" wrapText="1"/>
    </xf>
    <xf numFmtId="2" fontId="9" fillId="0" borderId="0" xfId="0" applyNumberFormat="1" applyFont="1" applyBorder="1" applyAlignment="1">
      <alignment horizontal="center" vertical="center"/>
    </xf>
    <xf numFmtId="0" fontId="46" fillId="0" borderId="0" xfId="0" applyFont="1" applyBorder="1" applyAlignment="1"/>
    <xf numFmtId="0" fontId="13" fillId="0" borderId="0" xfId="0" quotePrefix="1" applyFont="1" applyBorder="1" applyAlignment="1">
      <alignment horizontal="center" vertical="center" wrapText="1"/>
    </xf>
    <xf numFmtId="0" fontId="9" fillId="0" borderId="0" xfId="0" applyFont="1" applyBorder="1" applyAlignment="1">
      <alignment horizontal="center" vertical="center"/>
    </xf>
    <xf numFmtId="0" fontId="9" fillId="0" borderId="0" xfId="0" quotePrefix="1" applyFont="1" applyBorder="1" applyAlignment="1">
      <alignment horizontal="center" vertical="center" wrapText="1"/>
    </xf>
    <xf numFmtId="0" fontId="13" fillId="0" borderId="0" xfId="0" applyFont="1" applyBorder="1" applyAlignment="1">
      <alignment horizontal="left" vertical="center"/>
    </xf>
    <xf numFmtId="165" fontId="0" fillId="0" borderId="0" xfId="0" applyNumberFormat="1" applyBorder="1"/>
    <xf numFmtId="2" fontId="0" fillId="0" borderId="0" xfId="0" applyNumberFormat="1" applyBorder="1" applyAlignment="1"/>
    <xf numFmtId="169" fontId="3" fillId="0" borderId="0" xfId="0" applyNumberFormat="1" applyFont="1" applyBorder="1"/>
    <xf numFmtId="0" fontId="32" fillId="0" borderId="0" xfId="0" applyFont="1" applyBorder="1" applyAlignment="1"/>
    <xf numFmtId="1" fontId="0" fillId="0" borderId="0" xfId="0" applyNumberFormat="1" applyBorder="1" applyAlignment="1"/>
    <xf numFmtId="1" fontId="0" fillId="0" borderId="0" xfId="0" applyNumberFormat="1" applyBorder="1" applyAlignment="1">
      <alignment horizontal="center"/>
    </xf>
    <xf numFmtId="2" fontId="9" fillId="0" borderId="0" xfId="0" applyNumberFormat="1" applyFont="1" applyBorder="1" applyAlignment="1"/>
    <xf numFmtId="2" fontId="0" fillId="0" borderId="17" xfId="0" applyNumberFormat="1" applyBorder="1"/>
    <xf numFmtId="0" fontId="0" fillId="0" borderId="0" xfId="0" quotePrefix="1" applyBorder="1" applyAlignment="1">
      <alignment horizontal="center"/>
    </xf>
    <xf numFmtId="2" fontId="9" fillId="0" borderId="0" xfId="0" applyNumberFormat="1" applyFont="1" applyFill="1" applyBorder="1" applyAlignment="1">
      <alignmen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xf>
    <xf numFmtId="0" fontId="9" fillId="0" borderId="0" xfId="0" applyFont="1" applyFill="1" applyBorder="1" applyAlignment="1">
      <alignment vertical="center" wrapText="1"/>
    </xf>
    <xf numFmtId="0" fontId="3" fillId="0" borderId="0" xfId="0" applyFont="1" applyAlignment="1">
      <alignment horizontal="center"/>
    </xf>
    <xf numFmtId="0" fontId="19" fillId="0" borderId="9" xfId="0" applyFont="1" applyBorder="1"/>
    <xf numFmtId="0" fontId="14" fillId="0" borderId="11" xfId="0" applyFont="1" applyBorder="1"/>
    <xf numFmtId="0" fontId="28" fillId="0" borderId="11" xfId="0" applyFont="1" applyFill="1" applyBorder="1" applyAlignment="1">
      <alignment horizontal="left"/>
    </xf>
    <xf numFmtId="0" fontId="29" fillId="0" borderId="0" xfId="0" applyFont="1"/>
    <xf numFmtId="0" fontId="0" fillId="0" borderId="0" xfId="0" applyAlignment="1"/>
    <xf numFmtId="0" fontId="34" fillId="0" borderId="0" xfId="0" quotePrefix="1" applyFont="1" applyAlignment="1">
      <alignment horizontal="center"/>
    </xf>
    <xf numFmtId="0" fontId="14" fillId="0" borderId="0" xfId="0" applyFont="1" applyAlignment="1">
      <alignment horizontal="center"/>
    </xf>
    <xf numFmtId="0" fontId="75" fillId="0" borderId="0" xfId="0" quotePrefix="1" applyFont="1" applyBorder="1" applyAlignment="1">
      <alignment horizontal="left"/>
    </xf>
    <xf numFmtId="0" fontId="28" fillId="0" borderId="0" xfId="0" applyFont="1" applyBorder="1" applyAlignment="1">
      <alignment horizontal="left"/>
    </xf>
    <xf numFmtId="2" fontId="32" fillId="2" borderId="1" xfId="0" applyNumberFormat="1" applyFont="1" applyFill="1" applyBorder="1" applyAlignment="1">
      <alignment horizontal="center"/>
    </xf>
    <xf numFmtId="0" fontId="3" fillId="0" borderId="0" xfId="0" quotePrefix="1" applyFont="1" applyAlignment="1">
      <alignment horizontal="center"/>
    </xf>
    <xf numFmtId="0" fontId="2" fillId="0" borderId="0" xfId="0" applyFont="1" applyAlignment="1">
      <alignment horizontal="center"/>
    </xf>
    <xf numFmtId="0" fontId="2" fillId="0" borderId="0" xfId="0" quotePrefix="1" applyFont="1" applyAlignment="1">
      <alignment horizontal="center"/>
    </xf>
    <xf numFmtId="0" fontId="3" fillId="0" borderId="11" xfId="0" applyFont="1" applyBorder="1" applyAlignment="1">
      <alignment horizontal="center"/>
    </xf>
    <xf numFmtId="0" fontId="8" fillId="0" borderId="11" xfId="0" quotePrefix="1" applyFont="1" applyBorder="1" applyAlignment="1">
      <alignment horizontal="left"/>
    </xf>
    <xf numFmtId="0" fontId="2" fillId="0" borderId="11" xfId="0" applyFont="1" applyBorder="1" applyAlignment="1">
      <alignment horizontal="center"/>
    </xf>
    <xf numFmtId="0" fontId="62" fillId="0" borderId="11" xfId="0" quotePrefix="1" applyFont="1" applyBorder="1" applyAlignment="1">
      <alignment horizontal="left"/>
    </xf>
    <xf numFmtId="0" fontId="62" fillId="0" borderId="11" xfId="0" applyFont="1" applyBorder="1" applyAlignment="1"/>
    <xf numFmtId="0" fontId="62" fillId="0" borderId="11" xfId="0" applyFont="1" applyBorder="1"/>
    <xf numFmtId="0" fontId="2" fillId="0" borderId="11" xfId="0" applyFont="1" applyBorder="1"/>
    <xf numFmtId="0" fontId="3" fillId="0" borderId="0" xfId="0" applyFont="1" applyAlignment="1">
      <alignment horizontal="left"/>
    </xf>
    <xf numFmtId="2" fontId="3" fillId="0" borderId="2" xfId="0" applyNumberFormat="1" applyFont="1" applyBorder="1"/>
    <xf numFmtId="2" fontId="76" fillId="10" borderId="1" xfId="0" applyNumberFormat="1" applyFont="1" applyFill="1" applyBorder="1"/>
    <xf numFmtId="1" fontId="4" fillId="2" borderId="1" xfId="0" applyNumberFormat="1" applyFont="1" applyFill="1" applyBorder="1"/>
    <xf numFmtId="1" fontId="76" fillId="10" borderId="1" xfId="0" applyNumberFormat="1" applyFont="1" applyFill="1" applyBorder="1"/>
    <xf numFmtId="0" fontId="11" fillId="0" borderId="0" xfId="0" quotePrefix="1" applyFont="1" applyAlignment="1">
      <alignment horizontal="left"/>
    </xf>
    <xf numFmtId="0" fontId="0" fillId="0" borderId="0" xfId="0" applyAlignment="1">
      <alignment horizontal="right"/>
    </xf>
    <xf numFmtId="0" fontId="28" fillId="0" borderId="11" xfId="0" applyFont="1" applyFill="1" applyBorder="1"/>
    <xf numFmtId="0" fontId="9" fillId="7" borderId="0" xfId="0" applyFont="1" applyFill="1"/>
    <xf numFmtId="165" fontId="15" fillId="7" borderId="0" xfId="0" applyNumberFormat="1" applyFont="1" applyFill="1"/>
    <xf numFmtId="0" fontId="34" fillId="0" borderId="0" xfId="0" quotePrefix="1" applyFont="1" applyAlignment="1">
      <alignment horizontal="left"/>
    </xf>
    <xf numFmtId="0" fontId="28" fillId="0" borderId="11" xfId="0" quotePrefix="1" applyFont="1" applyBorder="1" applyAlignment="1">
      <alignment horizontal="left"/>
    </xf>
    <xf numFmtId="0" fontId="3" fillId="0" borderId="11" xfId="0" applyFont="1" applyBorder="1"/>
    <xf numFmtId="1" fontId="2" fillId="0" borderId="11" xfId="0" applyNumberFormat="1" applyFont="1" applyBorder="1" applyAlignment="1">
      <alignment horizontal="left"/>
    </xf>
    <xf numFmtId="0" fontId="0" fillId="0" borderId="0" xfId="0" applyAlignment="1">
      <alignment horizontal="left"/>
    </xf>
    <xf numFmtId="2" fontId="3" fillId="0" borderId="11" xfId="0" applyNumberFormat="1" applyFont="1" applyBorder="1"/>
    <xf numFmtId="0" fontId="3" fillId="0" borderId="0" xfId="0" applyFont="1" applyAlignment="1">
      <alignment horizontal="right"/>
    </xf>
    <xf numFmtId="2" fontId="0" fillId="0" borderId="2" xfId="0" applyNumberFormat="1" applyBorder="1"/>
    <xf numFmtId="164" fontId="14" fillId="2" borderId="1" xfId="0" applyNumberFormat="1" applyFont="1" applyFill="1" applyBorder="1"/>
    <xf numFmtId="0" fontId="3" fillId="10" borderId="1" xfId="0" applyFont="1" applyFill="1" applyBorder="1"/>
    <xf numFmtId="0" fontId="76" fillId="10" borderId="1" xfId="0" applyFont="1" applyFill="1" applyBorder="1"/>
    <xf numFmtId="1" fontId="3" fillId="0" borderId="11" xfId="0" applyNumberFormat="1" applyFont="1" applyBorder="1"/>
    <xf numFmtId="0" fontId="37" fillId="0" borderId="0" xfId="0" applyFont="1" applyBorder="1" applyAlignment="1" applyProtection="1">
      <alignment horizontal="center"/>
    </xf>
    <xf numFmtId="168" fontId="37" fillId="0" borderId="0" xfId="0" applyNumberFormat="1" applyFont="1" applyBorder="1" applyProtection="1"/>
    <xf numFmtId="0" fontId="37" fillId="0" borderId="1" xfId="0" quotePrefix="1" applyFont="1" applyBorder="1" applyAlignment="1" applyProtection="1">
      <alignment horizontal="left"/>
    </xf>
    <xf numFmtId="168" fontId="37" fillId="0" borderId="1" xfId="0" applyNumberFormat="1" applyFont="1" applyBorder="1" applyProtection="1"/>
    <xf numFmtId="0" fontId="37" fillId="0" borderId="1" xfId="0" applyFont="1" applyBorder="1" applyAlignment="1" applyProtection="1">
      <alignment horizontal="left"/>
    </xf>
    <xf numFmtId="0" fontId="37" fillId="0" borderId="0" xfId="0" applyFont="1" applyBorder="1" applyAlignment="1">
      <alignment horizontal="center"/>
    </xf>
    <xf numFmtId="0" fontId="37" fillId="0" borderId="0" xfId="0" applyFont="1" applyBorder="1"/>
    <xf numFmtId="0" fontId="0" fillId="0" borderId="0" xfId="0" applyAlignment="1" applyProtection="1">
      <alignment horizontal="left"/>
    </xf>
    <xf numFmtId="0" fontId="19" fillId="0" borderId="0" xfId="0" applyFont="1" applyAlignment="1" applyProtection="1">
      <alignment horizontal="center"/>
    </xf>
    <xf numFmtId="0" fontId="38" fillId="0" borderId="0" xfId="0" applyFont="1" applyAlignment="1" applyProtection="1">
      <alignment horizontal="right"/>
    </xf>
    <xf numFmtId="0" fontId="38" fillId="0" borderId="0" xfId="0" applyFont="1" applyAlignment="1" applyProtection="1">
      <alignment horizontal="left"/>
    </xf>
    <xf numFmtId="0" fontId="0" fillId="0" borderId="0" xfId="0" applyAlignment="1" applyProtection="1">
      <alignment horizontal="center"/>
    </xf>
    <xf numFmtId="170" fontId="38" fillId="0" borderId="0" xfId="0" applyNumberFormat="1" applyFont="1" applyProtection="1"/>
    <xf numFmtId="0" fontId="8" fillId="0" borderId="0" xfId="0" quotePrefix="1" applyFont="1" applyAlignment="1" applyProtection="1">
      <alignment horizontal="left"/>
    </xf>
    <xf numFmtId="0" fontId="19" fillId="0" borderId="0" xfId="0" applyFont="1" applyAlignment="1" applyProtection="1">
      <alignment horizontal="left"/>
    </xf>
    <xf numFmtId="171" fontId="0" fillId="0" borderId="0" xfId="0" applyNumberFormat="1" applyAlignment="1" applyProtection="1">
      <alignment horizontal="left"/>
    </xf>
    <xf numFmtId="165" fontId="19" fillId="0" borderId="0" xfId="0" applyNumberFormat="1" applyFont="1" applyAlignment="1" applyProtection="1">
      <alignment horizontal="left"/>
    </xf>
    <xf numFmtId="0" fontId="0" fillId="0" borderId="0" xfId="0" quotePrefix="1" applyAlignment="1" applyProtection="1">
      <alignment horizontal="left"/>
    </xf>
    <xf numFmtId="0" fontId="0" fillId="0" borderId="0" xfId="0" applyAlignment="1" applyProtection="1">
      <alignment horizontal="fill"/>
    </xf>
    <xf numFmtId="0" fontId="0" fillId="0" borderId="0" xfId="0" applyProtection="1"/>
    <xf numFmtId="171" fontId="0" fillId="0" borderId="0" xfId="0" applyNumberFormat="1" applyProtection="1"/>
    <xf numFmtId="2" fontId="19" fillId="0" borderId="0" xfId="0" applyNumberFormat="1" applyFont="1" applyAlignment="1" applyProtection="1">
      <alignment horizontal="center"/>
    </xf>
    <xf numFmtId="0" fontId="0" fillId="0" borderId="0" xfId="0" quotePrefix="1" applyAlignment="1" applyProtection="1">
      <alignment horizontal="center"/>
    </xf>
    <xf numFmtId="168" fontId="0" fillId="0" borderId="0" xfId="0" applyNumberFormat="1" applyProtection="1"/>
    <xf numFmtId="168" fontId="0" fillId="0" borderId="0" xfId="0" applyNumberFormat="1" applyAlignment="1" applyProtection="1">
      <alignment horizontal="center"/>
    </xf>
    <xf numFmtId="0" fontId="11" fillId="0" borderId="0" xfId="0" quotePrefix="1" applyFont="1" applyAlignment="1" applyProtection="1">
      <alignment horizontal="center"/>
    </xf>
    <xf numFmtId="171" fontId="0" fillId="0" borderId="0" xfId="0" applyNumberFormat="1" applyAlignment="1" applyProtection="1">
      <alignment horizontal="center"/>
    </xf>
    <xf numFmtId="0" fontId="0" fillId="0" borderId="2" xfId="0" applyBorder="1" applyAlignment="1" applyProtection="1">
      <alignment horizontal="center"/>
    </xf>
    <xf numFmtId="0" fontId="0" fillId="0" borderId="2" xfId="0" applyBorder="1"/>
    <xf numFmtId="0" fontId="0" fillId="0" borderId="2" xfId="0" applyBorder="1" applyAlignment="1" applyProtection="1">
      <alignment horizontal="left"/>
    </xf>
    <xf numFmtId="2" fontId="0" fillId="0" borderId="0" xfId="0" applyNumberFormat="1" applyProtection="1"/>
    <xf numFmtId="2" fontId="0" fillId="0" borderId="0" xfId="0" applyNumberFormat="1" applyAlignment="1" applyProtection="1">
      <alignment horizontal="left"/>
    </xf>
    <xf numFmtId="0" fontId="0" fillId="0" borderId="11" xfId="0" applyBorder="1" applyAlignment="1">
      <alignment horizontal="center"/>
    </xf>
    <xf numFmtId="0" fontId="0" fillId="0" borderId="0" xfId="0" applyBorder="1" applyAlignment="1" applyProtection="1">
      <alignment horizontal="center" vertical="center"/>
    </xf>
    <xf numFmtId="0" fontId="2" fillId="0" borderId="1" xfId="0" applyFont="1" applyBorder="1" applyAlignment="1">
      <alignment horizontal="center" vertical="center"/>
    </xf>
    <xf numFmtId="0" fontId="2" fillId="0" borderId="1" xfId="0" applyFont="1" applyBorder="1" applyAlignment="1" applyProtection="1">
      <alignment vertical="center"/>
    </xf>
    <xf numFmtId="0" fontId="2" fillId="0" borderId="1" xfId="0" applyFont="1" applyBorder="1" applyAlignment="1" applyProtection="1">
      <alignment horizontal="center" vertical="center"/>
    </xf>
    <xf numFmtId="0" fontId="3" fillId="0" borderId="0" xfId="0" applyFont="1" applyBorder="1" applyAlignment="1">
      <alignment horizontal="center" vertical="top"/>
    </xf>
    <xf numFmtId="0" fontId="3" fillId="0" borderId="0" xfId="0" applyFont="1" applyBorder="1" applyAlignment="1">
      <alignment horizontal="justify" vertical="top"/>
    </xf>
    <xf numFmtId="0" fontId="3" fillId="0" borderId="0" xfId="0" quotePrefix="1" applyFont="1" applyBorder="1" applyAlignment="1">
      <alignment horizontal="justify" vertical="top"/>
    </xf>
    <xf numFmtId="0" fontId="3" fillId="2" borderId="0" xfId="0" applyFont="1" applyFill="1" applyBorder="1" applyAlignment="1">
      <alignment horizontal="right" vertical="top"/>
    </xf>
    <xf numFmtId="0" fontId="4" fillId="2" borderId="0" xfId="0" applyFont="1" applyFill="1" applyBorder="1" applyAlignment="1">
      <alignment horizontal="center" vertical="top"/>
    </xf>
    <xf numFmtId="2" fontId="3" fillId="0" borderId="0" xfId="0" applyNumberFormat="1" applyFont="1" applyBorder="1" applyAlignment="1">
      <alignment vertical="top"/>
    </xf>
    <xf numFmtId="0" fontId="4" fillId="0" borderId="0" xfId="0" applyFont="1" applyBorder="1" applyAlignment="1">
      <alignment horizontal="center" vertical="top"/>
    </xf>
    <xf numFmtId="0" fontId="0" fillId="0" borderId="0" xfId="0" applyBorder="1" applyAlignment="1" applyProtection="1">
      <alignment horizontal="center" vertical="top"/>
    </xf>
    <xf numFmtId="165" fontId="3" fillId="0" borderId="0" xfId="0" applyNumberFormat="1" applyFont="1" applyBorder="1" applyAlignment="1">
      <alignment vertical="top"/>
    </xf>
    <xf numFmtId="0" fontId="0" fillId="0" borderId="0" xfId="0" applyBorder="1" applyAlignment="1">
      <alignment horizontal="right" vertical="top"/>
    </xf>
    <xf numFmtId="164" fontId="3" fillId="0" borderId="0" xfId="0" applyNumberFormat="1" applyFont="1" applyBorder="1" applyAlignment="1">
      <alignment vertical="top"/>
    </xf>
    <xf numFmtId="0" fontId="0" fillId="0" borderId="0" xfId="0" applyBorder="1" applyAlignment="1" applyProtection="1">
      <alignment vertical="top"/>
    </xf>
    <xf numFmtId="168" fontId="0" fillId="0" borderId="0" xfId="0" applyNumberFormat="1" applyBorder="1" applyAlignment="1" applyProtection="1">
      <alignment horizontal="right" vertical="top"/>
    </xf>
    <xf numFmtId="168" fontId="0" fillId="0" borderId="0" xfId="0" applyNumberFormat="1" applyAlignment="1" applyProtection="1">
      <alignment vertical="top"/>
    </xf>
    <xf numFmtId="1" fontId="3" fillId="0" borderId="0" xfId="0" applyNumberFormat="1" applyFont="1" applyBorder="1" applyAlignment="1">
      <alignment vertical="top"/>
    </xf>
    <xf numFmtId="0" fontId="0" fillId="2" borderId="0" xfId="0" applyFill="1" applyAlignment="1">
      <alignment vertical="top"/>
    </xf>
    <xf numFmtId="0" fontId="3" fillId="2" borderId="0" xfId="0" applyFont="1" applyFill="1" applyBorder="1" applyAlignment="1">
      <alignment horizontal="center" vertical="top"/>
    </xf>
    <xf numFmtId="0" fontId="0" fillId="2" borderId="0" xfId="0" applyFill="1" applyBorder="1" applyAlignment="1" applyProtection="1">
      <alignment vertical="top"/>
    </xf>
    <xf numFmtId="168" fontId="0" fillId="2" borderId="0" xfId="0" applyNumberFormat="1" applyFill="1" applyBorder="1" applyAlignment="1" applyProtection="1">
      <alignment horizontal="right" vertical="top"/>
    </xf>
    <xf numFmtId="0" fontId="3" fillId="2" borderId="0" xfId="0" quotePrefix="1" applyFont="1" applyFill="1" applyBorder="1" applyAlignment="1">
      <alignment vertical="top"/>
    </xf>
    <xf numFmtId="0" fontId="0" fillId="2" borderId="0" xfId="0" applyFill="1" applyBorder="1" applyAlignment="1">
      <alignment horizontal="center" vertical="top"/>
    </xf>
    <xf numFmtId="0" fontId="0" fillId="2" borderId="0" xfId="0" applyFill="1" applyBorder="1" applyAlignment="1">
      <alignment vertical="top"/>
    </xf>
    <xf numFmtId="165" fontId="3" fillId="2" borderId="0" xfId="0" applyNumberFormat="1" applyFont="1" applyFill="1" applyBorder="1" applyAlignment="1">
      <alignment vertical="top"/>
    </xf>
    <xf numFmtId="2" fontId="3" fillId="2" borderId="0" xfId="0" applyNumberFormat="1" applyFont="1" applyFill="1" applyBorder="1" applyAlignment="1">
      <alignment vertical="top"/>
    </xf>
    <xf numFmtId="1" fontId="3" fillId="2" borderId="0" xfId="0" applyNumberFormat="1" applyFont="1" applyFill="1" applyBorder="1" applyAlignment="1">
      <alignment vertical="top"/>
    </xf>
    <xf numFmtId="168" fontId="0" fillId="2" borderId="0" xfId="0" applyNumberFormat="1" applyFill="1" applyAlignment="1" applyProtection="1">
      <alignment vertical="top"/>
    </xf>
    <xf numFmtId="0" fontId="3" fillId="2" borderId="1" xfId="0" applyFont="1" applyFill="1" applyBorder="1" applyAlignment="1">
      <alignment horizontal="left" vertical="top"/>
    </xf>
    <xf numFmtId="49" fontId="3" fillId="3" borderId="0" xfId="0" applyNumberFormat="1" applyFont="1" applyFill="1" applyBorder="1" applyAlignment="1">
      <alignment vertical="top"/>
    </xf>
    <xf numFmtId="0" fontId="13" fillId="0" borderId="0" xfId="0" applyFont="1" applyAlignment="1" applyProtection="1">
      <alignment vertical="top"/>
      <protection hidden="1"/>
    </xf>
    <xf numFmtId="2" fontId="3" fillId="0" borderId="0" xfId="0" quotePrefix="1" applyNumberFormat="1" applyFont="1" applyBorder="1" applyAlignment="1">
      <alignment horizontal="right" vertical="top"/>
    </xf>
    <xf numFmtId="0" fontId="4" fillId="0" borderId="0" xfId="0" quotePrefix="1" applyFont="1" applyBorder="1" applyAlignment="1">
      <alignment horizontal="right" vertical="top"/>
    </xf>
    <xf numFmtId="0" fontId="8" fillId="0" borderId="0" xfId="0" quotePrefix="1" applyFont="1" applyBorder="1" applyAlignment="1">
      <alignment horizontal="left" vertical="top"/>
    </xf>
    <xf numFmtId="2" fontId="3" fillId="0" borderId="0" xfId="0" applyNumberFormat="1" applyFont="1" applyBorder="1" applyAlignment="1">
      <alignment horizontal="right" vertical="top"/>
    </xf>
    <xf numFmtId="164" fontId="0" fillId="0" borderId="0" xfId="0" applyNumberFormat="1" applyBorder="1" applyAlignment="1">
      <alignment vertical="top"/>
    </xf>
    <xf numFmtId="2" fontId="0" fillId="0" borderId="0" xfId="0" applyNumberFormat="1" applyBorder="1" applyAlignment="1" applyProtection="1">
      <alignment vertical="top"/>
    </xf>
    <xf numFmtId="1" fontId="76" fillId="0" borderId="0" xfId="0" applyNumberFormat="1" applyFont="1" applyBorder="1" applyAlignment="1">
      <alignment vertical="top"/>
    </xf>
    <xf numFmtId="1" fontId="3" fillId="0" borderId="0" xfId="0" applyNumberFormat="1" applyFont="1" applyBorder="1" applyAlignment="1">
      <alignment horizontal="right" vertical="top"/>
    </xf>
    <xf numFmtId="1" fontId="2" fillId="0" borderId="0" xfId="0" applyNumberFormat="1" applyFont="1" applyBorder="1" applyAlignment="1">
      <alignment horizontal="right" vertical="top"/>
    </xf>
    <xf numFmtId="172" fontId="0" fillId="0" borderId="0" xfId="0" applyNumberFormat="1" applyAlignment="1">
      <alignment vertical="top"/>
    </xf>
    <xf numFmtId="0" fontId="0" fillId="0" borderId="0" xfId="0" applyBorder="1" applyAlignment="1" applyProtection="1">
      <alignment horizontal="center"/>
    </xf>
    <xf numFmtId="168" fontId="0" fillId="0" borderId="0" xfId="0" applyNumberFormat="1" applyBorder="1" applyAlignment="1" applyProtection="1">
      <alignment horizontal="right"/>
    </xf>
    <xf numFmtId="173" fontId="0" fillId="0" borderId="0" xfId="0" applyNumberFormat="1"/>
    <xf numFmtId="1" fontId="0" fillId="0" borderId="0" xfId="0" applyNumberFormat="1" applyBorder="1" applyAlignment="1">
      <alignment horizontal="right"/>
    </xf>
    <xf numFmtId="0" fontId="0" fillId="0" borderId="0" xfId="0" applyBorder="1" applyProtection="1"/>
    <xf numFmtId="168" fontId="0" fillId="0" borderId="0" xfId="0" applyNumberFormat="1" applyBorder="1" applyProtection="1"/>
    <xf numFmtId="0" fontId="0" fillId="0" borderId="0" xfId="0" applyBorder="1" applyAlignment="1" applyProtection="1">
      <alignment horizontal="fill"/>
    </xf>
    <xf numFmtId="168" fontId="0" fillId="0" borderId="0" xfId="0" applyNumberFormat="1" applyAlignment="1" applyProtection="1">
      <alignment horizontal="left"/>
    </xf>
    <xf numFmtId="0" fontId="0" fillId="0" borderId="0" xfId="0" applyBorder="1" applyAlignment="1" applyProtection="1">
      <alignment horizontal="left"/>
    </xf>
    <xf numFmtId="0" fontId="11" fillId="0" borderId="0" xfId="0" applyFont="1" applyBorder="1" applyAlignment="1">
      <alignment horizontal="center"/>
    </xf>
    <xf numFmtId="0" fontId="11" fillId="0" borderId="0" xfId="0" applyFont="1" applyBorder="1" applyAlignment="1"/>
    <xf numFmtId="0" fontId="15" fillId="0" borderId="0" xfId="0" applyFont="1" applyBorder="1" applyAlignment="1"/>
    <xf numFmtId="0" fontId="11" fillId="0" borderId="0" xfId="0" applyFont="1" applyBorder="1" applyAlignment="1" applyProtection="1"/>
    <xf numFmtId="168" fontId="11" fillId="0" borderId="0" xfId="0" applyNumberFormat="1" applyFont="1" applyBorder="1" applyAlignment="1" applyProtection="1"/>
    <xf numFmtId="168" fontId="11" fillId="0" borderId="0" xfId="0" applyNumberFormat="1" applyFont="1" applyBorder="1" applyProtection="1"/>
    <xf numFmtId="0" fontId="11" fillId="0" borderId="0" xfId="0" applyFont="1" applyBorder="1" applyAlignment="1">
      <alignment horizontal="centerContinuous"/>
    </xf>
    <xf numFmtId="0" fontId="11" fillId="0" borderId="0" xfId="0" applyFont="1" applyBorder="1"/>
    <xf numFmtId="0" fontId="11" fillId="0" borderId="0" xfId="0" applyFont="1" applyBorder="1" applyAlignment="1" applyProtection="1">
      <alignment horizontal="centerContinuous"/>
    </xf>
    <xf numFmtId="168" fontId="11" fillId="0" borderId="0" xfId="0" applyNumberFormat="1" applyFont="1" applyBorder="1" applyAlignment="1" applyProtection="1">
      <alignment horizontal="centerContinuous"/>
    </xf>
    <xf numFmtId="0" fontId="15" fillId="0" borderId="0" xfId="0" quotePrefix="1" applyFont="1" applyBorder="1" applyAlignment="1">
      <alignment horizontal="center"/>
    </xf>
    <xf numFmtId="0" fontId="15" fillId="0" borderId="0" xfId="0" applyFont="1" applyBorder="1" applyAlignment="1">
      <alignment horizontal="center"/>
    </xf>
    <xf numFmtId="2" fontId="11" fillId="0" borderId="0" xfId="0" applyNumberFormat="1" applyFont="1" applyBorder="1"/>
    <xf numFmtId="0" fontId="4" fillId="0" borderId="1" xfId="0" applyFont="1" applyBorder="1"/>
    <xf numFmtId="2" fontId="4" fillId="0" borderId="1" xfId="0" applyNumberFormat="1" applyFont="1" applyBorder="1" applyAlignment="1">
      <alignment horizontal="center"/>
    </xf>
    <xf numFmtId="0" fontId="0" fillId="8" borderId="0" xfId="0" applyFill="1"/>
    <xf numFmtId="0" fontId="77" fillId="0" borderId="1" xfId="0" quotePrefix="1" applyFont="1" applyBorder="1" applyAlignment="1">
      <alignment horizontal="left"/>
    </xf>
    <xf numFmtId="0" fontId="0" fillId="8" borderId="0" xfId="0" applyFill="1" applyAlignment="1">
      <alignment horizontal="right"/>
    </xf>
    <xf numFmtId="0" fontId="77" fillId="0" borderId="1" xfId="0" applyFont="1" applyBorder="1"/>
    <xf numFmtId="0" fontId="78" fillId="0" borderId="1" xfId="0" applyFont="1" applyBorder="1" applyAlignment="1">
      <alignment horizontal="center"/>
    </xf>
    <xf numFmtId="0" fontId="62" fillId="0" borderId="11" xfId="0" applyFont="1" applyFill="1" applyBorder="1"/>
    <xf numFmtId="0" fontId="79" fillId="0" borderId="1" xfId="0" applyFont="1" applyBorder="1"/>
    <xf numFmtId="0" fontId="4" fillId="0" borderId="1" xfId="0" applyFont="1" applyBorder="1" applyAlignment="1">
      <alignment horizontal="center"/>
    </xf>
    <xf numFmtId="2" fontId="32" fillId="0" borderId="0" xfId="0" applyNumberFormat="1" applyFont="1" applyAlignment="1">
      <alignment horizontal="center"/>
    </xf>
    <xf numFmtId="164" fontId="51" fillId="0" borderId="0" xfId="0" applyNumberFormat="1" applyFont="1" applyAlignment="1">
      <alignment horizontal="center"/>
    </xf>
    <xf numFmtId="0" fontId="46" fillId="0" borderId="0" xfId="0" applyFont="1"/>
    <xf numFmtId="0" fontId="2" fillId="0" borderId="0" xfId="0" quotePrefix="1" applyFont="1" applyAlignment="1">
      <alignment horizontal="left"/>
    </xf>
    <xf numFmtId="0" fontId="54" fillId="0" borderId="0" xfId="0" applyFont="1" applyAlignment="1">
      <alignment horizontal="center"/>
    </xf>
    <xf numFmtId="2" fontId="51" fillId="0" borderId="0" xfId="0" applyNumberFormat="1" applyFont="1" applyAlignment="1">
      <alignment horizontal="center"/>
    </xf>
    <xf numFmtId="2" fontId="51" fillId="0" borderId="0" xfId="0" applyNumberFormat="1" applyFont="1"/>
    <xf numFmtId="2" fontId="32" fillId="0" borderId="0" xfId="0" applyNumberFormat="1" applyFont="1" applyAlignment="1">
      <alignment horizontal="left"/>
    </xf>
    <xf numFmtId="2" fontId="34" fillId="0" borderId="0" xfId="0" applyNumberFormat="1" applyFont="1" applyAlignment="1">
      <alignment horizontal="left"/>
    </xf>
    <xf numFmtId="0" fontId="62" fillId="0" borderId="0" xfId="0" applyFont="1" applyBorder="1" applyAlignment="1">
      <alignment horizontal="left"/>
    </xf>
    <xf numFmtId="0" fontId="62" fillId="0" borderId="0" xfId="0" applyFont="1" applyBorder="1"/>
    <xf numFmtId="0" fontId="2" fillId="0" borderId="0" xfId="0" quotePrefix="1" applyFont="1" applyBorder="1" applyAlignment="1">
      <alignment horizontal="left"/>
    </xf>
    <xf numFmtId="0" fontId="34" fillId="0" borderId="1" xfId="0" applyFont="1" applyBorder="1"/>
    <xf numFmtId="0" fontId="15" fillId="0" borderId="0" xfId="0" quotePrefix="1" applyFont="1" applyAlignment="1">
      <alignment horizontal="left"/>
    </xf>
    <xf numFmtId="0" fontId="15" fillId="0" borderId="0" xfId="0" applyFont="1" applyAlignment="1">
      <alignment horizontal="center"/>
    </xf>
    <xf numFmtId="0" fontId="8" fillId="0" borderId="11" xfId="0" applyFont="1" applyBorder="1"/>
    <xf numFmtId="0" fontId="28" fillId="0" borderId="11" xfId="0" applyFont="1" applyBorder="1" applyAlignment="1"/>
    <xf numFmtId="0" fontId="28" fillId="0" borderId="11" xfId="0" applyFont="1" applyBorder="1" applyAlignment="1">
      <alignment horizontal="center"/>
    </xf>
    <xf numFmtId="0" fontId="28" fillId="0" borderId="0" xfId="0" applyFont="1" applyBorder="1" applyAlignment="1">
      <alignment horizontal="center"/>
    </xf>
    <xf numFmtId="2" fontId="3" fillId="0" borderId="0" xfId="0" applyNumberFormat="1" applyFont="1" applyAlignment="1">
      <alignment horizontal="right"/>
    </xf>
    <xf numFmtId="2" fontId="3" fillId="0" borderId="0" xfId="0" applyNumberFormat="1" applyFont="1" applyAlignment="1">
      <alignment horizontal="center"/>
    </xf>
    <xf numFmtId="0" fontId="0" fillId="0" borderId="0" xfId="0" quotePrefix="1" applyAlignment="1">
      <alignment horizontal="center"/>
    </xf>
    <xf numFmtId="0" fontId="4" fillId="10" borderId="1" xfId="0" applyFont="1" applyFill="1" applyBorder="1"/>
    <xf numFmtId="0" fontId="9" fillId="0" borderId="0" xfId="0" applyFont="1" applyAlignment="1">
      <alignment horizontal="center"/>
    </xf>
    <xf numFmtId="0" fontId="77" fillId="8" borderId="1" xfId="0" applyFont="1" applyFill="1" applyBorder="1"/>
    <xf numFmtId="0" fontId="4" fillId="8" borderId="1" xfId="0" applyFont="1" applyFill="1" applyBorder="1" applyAlignment="1">
      <alignment horizontal="center"/>
    </xf>
    <xf numFmtId="164" fontId="55" fillId="0" borderId="0" xfId="0" applyNumberFormat="1" applyFont="1" applyAlignment="1">
      <alignment horizontal="center"/>
    </xf>
    <xf numFmtId="0" fontId="2" fillId="7" borderId="0" xfId="0" applyFont="1" applyFill="1"/>
    <xf numFmtId="165" fontId="51" fillId="7" borderId="0" xfId="0" applyNumberFormat="1" applyFont="1" applyFill="1" applyAlignment="1">
      <alignment horizontal="left"/>
    </xf>
    <xf numFmtId="2" fontId="55" fillId="0" borderId="0" xfId="0" applyNumberFormat="1" applyFont="1" applyAlignment="1">
      <alignment horizontal="left"/>
    </xf>
    <xf numFmtId="0" fontId="2" fillId="0" borderId="0" xfId="0" applyFont="1" applyAlignment="1">
      <alignment horizontal="right"/>
    </xf>
    <xf numFmtId="164" fontId="51" fillId="0" borderId="0" xfId="0" applyNumberFormat="1" applyFont="1" applyAlignment="1">
      <alignment horizontal="left"/>
    </xf>
    <xf numFmtId="0" fontId="52" fillId="0" borderId="0" xfId="0" applyFont="1" applyAlignment="1">
      <alignment horizontal="left"/>
    </xf>
    <xf numFmtId="2" fontId="52" fillId="0" borderId="0" xfId="0" applyNumberFormat="1" applyFont="1" applyAlignment="1">
      <alignment horizontal="left"/>
    </xf>
    <xf numFmtId="0" fontId="46" fillId="0" borderId="1" xfId="0" quotePrefix="1" applyFont="1" applyBorder="1" applyAlignment="1">
      <alignment horizontal="left"/>
    </xf>
    <xf numFmtId="0" fontId="3" fillId="0" borderId="3" xfId="0" applyFont="1" applyBorder="1"/>
    <xf numFmtId="0" fontId="3" fillId="0" borderId="2" xfId="0" applyFont="1" applyBorder="1"/>
    <xf numFmtId="0" fontId="3" fillId="0" borderId="13" xfId="0" applyFont="1" applyBorder="1"/>
    <xf numFmtId="0" fontId="36" fillId="0" borderId="0" xfId="0" applyFont="1" applyBorder="1" applyAlignment="1">
      <alignment horizontal="centerContinuous"/>
    </xf>
    <xf numFmtId="0" fontId="32" fillId="0" borderId="0" xfId="0" quotePrefix="1" applyFont="1" applyBorder="1" applyAlignment="1"/>
    <xf numFmtId="0" fontId="28" fillId="0" borderId="1" xfId="0" quotePrefix="1" applyFont="1" applyBorder="1" applyAlignment="1">
      <alignment horizontal="left"/>
    </xf>
    <xf numFmtId="0" fontId="28" fillId="0" borderId="1" xfId="0" applyFont="1" applyBorder="1" applyAlignment="1">
      <alignment horizontal="center"/>
    </xf>
    <xf numFmtId="0" fontId="28" fillId="0" borderId="1" xfId="0" applyFont="1" applyBorder="1" applyAlignment="1">
      <alignment horizontal="right"/>
    </xf>
    <xf numFmtId="0" fontId="0" fillId="0" borderId="0" xfId="0" applyBorder="1" applyAlignment="1">
      <alignment horizontal="left" vertical="center" wrapText="1"/>
    </xf>
    <xf numFmtId="0" fontId="36" fillId="0" borderId="0" xfId="0" applyFont="1" applyBorder="1"/>
    <xf numFmtId="0" fontId="0" fillId="0" borderId="0" xfId="0" applyBorder="1" applyAlignment="1">
      <alignment vertical="center" wrapText="1"/>
    </xf>
    <xf numFmtId="0" fontId="35" fillId="0" borderId="0" xfId="0" applyFont="1" applyBorder="1"/>
    <xf numFmtId="164" fontId="14" fillId="8" borderId="1" xfId="0" applyNumberFormat="1" applyFont="1" applyFill="1" applyBorder="1"/>
    <xf numFmtId="1" fontId="40" fillId="0" borderId="0" xfId="0" applyNumberFormat="1" applyFont="1" applyBorder="1"/>
    <xf numFmtId="0" fontId="9" fillId="0" borderId="0" xfId="0" applyFont="1" applyBorder="1" applyAlignment="1">
      <alignment horizontal="right"/>
    </xf>
    <xf numFmtId="166" fontId="9" fillId="0" borderId="2" xfId="0" applyNumberFormat="1" applyFont="1" applyBorder="1"/>
    <xf numFmtId="2" fontId="0" fillId="0" borderId="0" xfId="0" applyNumberFormat="1" applyAlignment="1">
      <alignment horizontal="center"/>
    </xf>
    <xf numFmtId="2" fontId="0" fillId="0" borderId="0" xfId="0" quotePrefix="1" applyNumberFormat="1" applyAlignment="1">
      <alignment horizontal="center"/>
    </xf>
    <xf numFmtId="0" fontId="9" fillId="13" borderId="1" xfId="0" applyFont="1" applyFill="1" applyBorder="1" applyAlignment="1"/>
    <xf numFmtId="0" fontId="9" fillId="13" borderId="1" xfId="0" applyFont="1" applyFill="1" applyBorder="1"/>
    <xf numFmtId="2" fontId="14" fillId="9" borderId="1" xfId="0" applyNumberFormat="1" applyFont="1" applyFill="1" applyBorder="1"/>
    <xf numFmtId="0" fontId="9" fillId="0" borderId="0" xfId="0" applyFont="1" applyFill="1" applyBorder="1" applyAlignment="1"/>
    <xf numFmtId="0" fontId="9" fillId="0" borderId="0" xfId="0" applyFont="1" applyFill="1" applyBorder="1"/>
    <xf numFmtId="2" fontId="14" fillId="0" borderId="0" xfId="0" applyNumberFormat="1" applyFont="1" applyFill="1" applyBorder="1"/>
    <xf numFmtId="0" fontId="0" fillId="9" borderId="1" xfId="0" applyFill="1" applyBorder="1"/>
    <xf numFmtId="0" fontId="9" fillId="0" borderId="1" xfId="0" applyFont="1" applyBorder="1" applyAlignment="1">
      <alignment horizontal="center" wrapText="1"/>
    </xf>
    <xf numFmtId="0" fontId="13" fillId="2" borderId="1" xfId="0" applyFont="1" applyFill="1" applyBorder="1" applyAlignment="1">
      <alignment horizontal="center" wrapText="1"/>
    </xf>
    <xf numFmtId="0" fontId="9" fillId="0" borderId="1" xfId="0" applyFont="1" applyFill="1" applyBorder="1" applyAlignment="1">
      <alignment horizontal="center" wrapText="1"/>
    </xf>
    <xf numFmtId="0" fontId="13" fillId="9" borderId="1" xfId="0" applyFont="1" applyFill="1" applyBorder="1" applyAlignment="1">
      <alignment horizontal="center" wrapText="1"/>
    </xf>
    <xf numFmtId="0" fontId="9" fillId="0" borderId="1" xfId="0" applyFont="1" applyBorder="1"/>
    <xf numFmtId="0" fontId="9" fillId="0" borderId="1" xfId="0" applyFont="1" applyBorder="1" applyAlignment="1">
      <alignment horizontal="center"/>
    </xf>
    <xf numFmtId="2" fontId="0" fillId="2" borderId="1" xfId="0" applyNumberFormat="1" applyFill="1" applyBorder="1"/>
    <xf numFmtId="0" fontId="13" fillId="0" borderId="1" xfId="0" applyFont="1" applyBorder="1" applyAlignment="1">
      <alignment horizontal="center" wrapText="1"/>
    </xf>
    <xf numFmtId="0" fontId="13" fillId="2" borderId="1" xfId="0" applyFont="1" applyFill="1" applyBorder="1" applyAlignment="1">
      <alignment horizontal="center"/>
    </xf>
    <xf numFmtId="0" fontId="13" fillId="2" borderId="1" xfId="0" quotePrefix="1" applyFont="1" applyFill="1" applyBorder="1" applyAlignment="1">
      <alignment horizontal="center"/>
    </xf>
    <xf numFmtId="0" fontId="13" fillId="2" borderId="1" xfId="0" applyFont="1" applyFill="1" applyBorder="1"/>
    <xf numFmtId="0" fontId="19" fillId="2" borderId="1" xfId="0" applyFont="1" applyFill="1" applyBorder="1" applyAlignment="1">
      <alignment horizontal="center"/>
    </xf>
    <xf numFmtId="0" fontId="8" fillId="2" borderId="1" xfId="0" applyFont="1" applyFill="1" applyBorder="1" applyAlignment="1">
      <alignment wrapText="1"/>
    </xf>
    <xf numFmtId="2" fontId="81" fillId="2" borderId="1" xfId="0" applyNumberFormat="1" applyFont="1" applyFill="1" applyBorder="1"/>
    <xf numFmtId="2" fontId="82" fillId="2" borderId="1" xfId="0" applyNumberFormat="1" applyFont="1" applyFill="1" applyBorder="1"/>
    <xf numFmtId="2" fontId="83" fillId="2" borderId="1" xfId="0" applyNumberFormat="1" applyFont="1" applyFill="1" applyBorder="1"/>
    <xf numFmtId="2" fontId="84" fillId="2" borderId="1" xfId="0" applyNumberFormat="1" applyFont="1" applyFill="1" applyBorder="1"/>
    <xf numFmtId="2" fontId="85" fillId="2" borderId="1" xfId="0" applyNumberFormat="1" applyFont="1" applyFill="1" applyBorder="1"/>
    <xf numFmtId="2" fontId="86" fillId="2" borderId="1" xfId="0" applyNumberFormat="1" applyFont="1" applyFill="1" applyBorder="1"/>
    <xf numFmtId="2" fontId="87" fillId="2" borderId="1" xfId="0" applyNumberFormat="1" applyFont="1" applyFill="1" applyBorder="1"/>
    <xf numFmtId="2" fontId="88" fillId="2" borderId="1" xfId="0" applyNumberFormat="1" applyFont="1" applyFill="1" applyBorder="1"/>
    <xf numFmtId="2" fontId="64" fillId="2" borderId="1" xfId="0" applyNumberFormat="1" applyFont="1" applyFill="1" applyBorder="1"/>
    <xf numFmtId="0" fontId="14" fillId="0" borderId="0" xfId="0" applyFont="1"/>
    <xf numFmtId="0" fontId="14" fillId="0" borderId="1" xfId="0" applyFont="1" applyBorder="1" applyAlignment="1">
      <alignment horizontal="center"/>
    </xf>
    <xf numFmtId="0" fontId="14" fillId="0" borderId="1" xfId="0" applyFont="1" applyFill="1" applyBorder="1" applyAlignment="1">
      <alignment horizontal="center"/>
    </xf>
    <xf numFmtId="2" fontId="0" fillId="0" borderId="1" xfId="0" applyNumberFormat="1" applyFill="1" applyBorder="1"/>
    <xf numFmtId="2" fontId="9" fillId="0" borderId="1" xfId="0" applyNumberFormat="1" applyFont="1" applyFill="1" applyBorder="1"/>
    <xf numFmtId="0" fontId="89" fillId="0" borderId="8" xfId="0" quotePrefix="1" applyFont="1" applyBorder="1" applyAlignment="1">
      <alignment horizontal="left"/>
    </xf>
    <xf numFmtId="0" fontId="89" fillId="0" borderId="9" xfId="0" applyFont="1" applyBorder="1"/>
    <xf numFmtId="0" fontId="38" fillId="0" borderId="13" xfId="0" applyFont="1" applyBorder="1" applyAlignment="1">
      <alignment horizontal="center"/>
    </xf>
    <xf numFmtId="1" fontId="0" fillId="0" borderId="0" xfId="0" applyNumberFormat="1" applyAlignment="1">
      <alignment horizontal="center"/>
    </xf>
    <xf numFmtId="0" fontId="38" fillId="0" borderId="1" xfId="0" applyFont="1" applyBorder="1" applyAlignment="1">
      <alignment horizontal="center"/>
    </xf>
    <xf numFmtId="0" fontId="45" fillId="0" borderId="8" xfId="0" applyFont="1" applyBorder="1"/>
    <xf numFmtId="0" fontId="38" fillId="0" borderId="8" xfId="0" quotePrefix="1" applyFont="1" applyBorder="1" applyAlignment="1">
      <alignment horizontal="left"/>
    </xf>
    <xf numFmtId="1" fontId="38" fillId="8" borderId="1" xfId="0" applyNumberFormat="1" applyFont="1" applyFill="1" applyBorder="1" applyAlignment="1">
      <alignment horizontal="center"/>
    </xf>
    <xf numFmtId="0" fontId="38" fillId="0" borderId="10" xfId="0" applyFont="1" applyBorder="1"/>
    <xf numFmtId="0" fontId="38" fillId="0" borderId="12" xfId="0" applyFont="1" applyBorder="1" applyAlignment="1">
      <alignment horizontal="center"/>
    </xf>
    <xf numFmtId="0" fontId="38" fillId="0" borderId="3" xfId="0" quotePrefix="1" applyFont="1" applyBorder="1" applyAlignment="1">
      <alignment horizontal="left"/>
    </xf>
    <xf numFmtId="0" fontId="43" fillId="0" borderId="1" xfId="0" applyFont="1" applyBorder="1"/>
    <xf numFmtId="164" fontId="43" fillId="0" borderId="12" xfId="0" applyNumberFormat="1" applyFont="1" applyBorder="1" applyAlignment="1">
      <alignment horizontal="center"/>
    </xf>
    <xf numFmtId="0" fontId="90" fillId="0" borderId="0" xfId="0" applyFont="1" applyBorder="1"/>
    <xf numFmtId="2" fontId="8" fillId="0" borderId="1" xfId="0" applyNumberFormat="1" applyFont="1" applyBorder="1" applyAlignment="1">
      <alignment horizontal="center"/>
    </xf>
    <xf numFmtId="0" fontId="90" fillId="0" borderId="0" xfId="0" quotePrefix="1" applyFont="1" applyBorder="1" applyAlignment="1">
      <alignment horizontal="left"/>
    </xf>
    <xf numFmtId="0" fontId="36" fillId="0" borderId="0" xfId="0" applyFont="1" applyAlignment="1">
      <alignment horizontal="centerContinuous"/>
    </xf>
    <xf numFmtId="0" fontId="36" fillId="0" borderId="0" xfId="0" applyFont="1" applyAlignment="1">
      <alignment horizontal="center"/>
    </xf>
    <xf numFmtId="2" fontId="5" fillId="0" borderId="0" xfId="0" applyNumberFormat="1" applyFont="1" applyAlignment="1">
      <alignment horizontal="right"/>
    </xf>
    <xf numFmtId="164" fontId="5" fillId="0" borderId="0" xfId="0" applyNumberFormat="1" applyFont="1" applyAlignment="1">
      <alignment horizontal="right"/>
    </xf>
    <xf numFmtId="0" fontId="38" fillId="0" borderId="0" xfId="0" applyFont="1" applyBorder="1"/>
    <xf numFmtId="0" fontId="15" fillId="0" borderId="0" xfId="0" quotePrefix="1" applyFont="1" applyAlignment="1">
      <alignment horizontal="right"/>
    </xf>
    <xf numFmtId="0" fontId="11" fillId="0" borderId="0" xfId="0" applyFont="1"/>
    <xf numFmtId="0" fontId="15" fillId="0" borderId="3" xfId="0" applyFont="1" applyBorder="1"/>
    <xf numFmtId="0" fontId="9" fillId="0" borderId="3" xfId="0" applyFont="1" applyBorder="1" applyAlignment="1">
      <alignment horizontal="center"/>
    </xf>
    <xf numFmtId="0" fontId="0" fillId="0" borderId="3" xfId="0" applyBorder="1"/>
    <xf numFmtId="0" fontId="0" fillId="0" borderId="3" xfId="0" applyBorder="1" applyAlignment="1">
      <alignment horizontal="center"/>
    </xf>
    <xf numFmtId="0" fontId="9" fillId="0" borderId="11" xfId="0" applyFont="1" applyBorder="1" applyAlignment="1">
      <alignment horizontal="center"/>
    </xf>
    <xf numFmtId="0" fontId="8" fillId="0" borderId="1" xfId="0" applyFont="1" applyBorder="1" applyAlignment="1">
      <alignment wrapText="1"/>
    </xf>
    <xf numFmtId="1" fontId="14" fillId="0" borderId="1" xfId="0" applyNumberFormat="1" applyFont="1" applyBorder="1"/>
    <xf numFmtId="0" fontId="91" fillId="8" borderId="1" xfId="0" applyFont="1" applyFill="1" applyBorder="1"/>
    <xf numFmtId="0" fontId="14" fillId="8" borderId="1" xfId="0" applyFont="1" applyFill="1" applyBorder="1" applyAlignment="1">
      <alignment horizontal="center"/>
    </xf>
    <xf numFmtId="0" fontId="14" fillId="8" borderId="1" xfId="0" applyFont="1" applyFill="1" applyBorder="1"/>
    <xf numFmtId="0" fontId="92" fillId="11" borderId="1" xfId="0" applyFont="1" applyFill="1" applyBorder="1" applyAlignment="1" applyProtection="1">
      <alignment horizontal="center"/>
    </xf>
    <xf numFmtId="0" fontId="61" fillId="0" borderId="0" xfId="0" applyFont="1"/>
    <xf numFmtId="0" fontId="61" fillId="0" borderId="0" xfId="0" quotePrefix="1" applyFont="1" applyAlignment="1">
      <alignment horizontal="left"/>
    </xf>
    <xf numFmtId="2" fontId="36" fillId="0" borderId="0" xfId="0" applyNumberFormat="1" applyFont="1" applyAlignment="1">
      <alignment horizontal="center"/>
    </xf>
    <xf numFmtId="0" fontId="61" fillId="0" borderId="0" xfId="0" applyFont="1" applyAlignment="1">
      <alignment horizontal="center"/>
    </xf>
    <xf numFmtId="1" fontId="9" fillId="0" borderId="0" xfId="0" applyNumberFormat="1" applyFont="1" applyAlignment="1">
      <alignment horizontal="left"/>
    </xf>
    <xf numFmtId="2" fontId="96" fillId="0" borderId="0" xfId="0" applyNumberFormat="1" applyFont="1" applyAlignment="1">
      <alignment horizontal="center"/>
    </xf>
    <xf numFmtId="0" fontId="53" fillId="0" borderId="17" xfId="0" applyFont="1" applyBorder="1"/>
    <xf numFmtId="0" fontId="2" fillId="0" borderId="17" xfId="0" applyFont="1" applyBorder="1"/>
    <xf numFmtId="0" fontId="76" fillId="0" borderId="0" xfId="0" quotePrefix="1" applyFont="1" applyAlignment="1">
      <alignment horizontal="left"/>
    </xf>
    <xf numFmtId="165" fontId="3" fillId="0" borderId="11" xfId="0" applyNumberFormat="1" applyFont="1" applyBorder="1" applyAlignment="1">
      <alignment horizontal="center"/>
    </xf>
    <xf numFmtId="1" fontId="3" fillId="0" borderId="1" xfId="0" applyNumberFormat="1" applyFont="1" applyBorder="1"/>
    <xf numFmtId="0" fontId="4" fillId="0" borderId="0" xfId="0" quotePrefix="1" applyFont="1" applyAlignment="1">
      <alignment horizontal="left"/>
    </xf>
    <xf numFmtId="0" fontId="8" fillId="0" borderId="2" xfId="0" applyFont="1" applyBorder="1"/>
    <xf numFmtId="0" fontId="0" fillId="0" borderId="13" xfId="0" applyBorder="1"/>
    <xf numFmtId="2" fontId="19" fillId="0" borderId="5" xfId="0" applyNumberFormat="1" applyFont="1" applyBorder="1"/>
    <xf numFmtId="2" fontId="19" fillId="0" borderId="6" xfId="0" applyNumberFormat="1" applyFont="1" applyBorder="1"/>
    <xf numFmtId="2" fontId="19" fillId="0" borderId="7" xfId="0" applyNumberFormat="1" applyFont="1" applyBorder="1"/>
    <xf numFmtId="0" fontId="33" fillId="0" borderId="1" xfId="0" applyFont="1" applyBorder="1"/>
    <xf numFmtId="2" fontId="32" fillId="0" borderId="1" xfId="0" applyNumberFormat="1" applyFont="1" applyBorder="1"/>
    <xf numFmtId="2" fontId="19" fillId="0" borderId="8" xfId="0" applyNumberFormat="1" applyFont="1" applyBorder="1"/>
    <xf numFmtId="2" fontId="19" fillId="0" borderId="9" xfId="0" applyNumberFormat="1" applyFont="1" applyBorder="1"/>
    <xf numFmtId="2" fontId="19" fillId="0" borderId="10" xfId="0" applyNumberFormat="1" applyFont="1" applyBorder="1"/>
    <xf numFmtId="2" fontId="19" fillId="0" borderId="2" xfId="0" applyNumberFormat="1" applyFont="1" applyBorder="1"/>
    <xf numFmtId="2" fontId="19" fillId="0" borderId="12" xfId="0" applyNumberFormat="1" applyFont="1" applyBorder="1"/>
    <xf numFmtId="0" fontId="58" fillId="0" borderId="0" xfId="0" applyFont="1" applyAlignment="1">
      <alignment horizontal="center"/>
    </xf>
    <xf numFmtId="0" fontId="100" fillId="0" borderId="18" xfId="0" applyFont="1" applyBorder="1" applyAlignment="1">
      <alignment horizontal="center" vertical="top" wrapText="1"/>
    </xf>
    <xf numFmtId="0" fontId="100" fillId="0" borderId="19" xfId="0" applyFont="1" applyBorder="1" applyAlignment="1">
      <alignment vertical="top" wrapText="1"/>
    </xf>
    <xf numFmtId="0" fontId="101" fillId="0" borderId="19" xfId="0" applyFont="1" applyBorder="1" applyAlignment="1">
      <alignment horizontal="center" vertical="top" wrapText="1"/>
    </xf>
    <xf numFmtId="0" fontId="100" fillId="0" borderId="21" xfId="0" applyFont="1" applyBorder="1" applyAlignment="1">
      <alignment horizontal="justify" vertical="top" wrapText="1"/>
    </xf>
    <xf numFmtId="0" fontId="100" fillId="0" borderId="23" xfId="0" applyFont="1" applyBorder="1" applyAlignment="1">
      <alignment horizontal="justify" vertical="top" wrapText="1"/>
    </xf>
    <xf numFmtId="0" fontId="100" fillId="0" borderId="22" xfId="0" applyFont="1" applyBorder="1" applyAlignment="1">
      <alignment horizontal="center" vertical="top" wrapText="1"/>
    </xf>
    <xf numFmtId="0" fontId="101" fillId="0" borderId="23" xfId="0" applyFont="1" applyBorder="1" applyAlignment="1">
      <alignment horizontal="center" vertical="top" wrapText="1"/>
    </xf>
    <xf numFmtId="0" fontId="100" fillId="0" borderId="23" xfId="0" applyFont="1" applyBorder="1" applyAlignment="1">
      <alignment vertical="top" wrapText="1"/>
    </xf>
    <xf numFmtId="0" fontId="102" fillId="0" borderId="23" xfId="0" applyFont="1" applyBorder="1" applyAlignment="1">
      <alignment vertical="top" wrapText="1"/>
    </xf>
    <xf numFmtId="0" fontId="101" fillId="0" borderId="23" xfId="0" applyFont="1" applyBorder="1" applyAlignment="1">
      <alignment vertical="top" wrapText="1"/>
    </xf>
    <xf numFmtId="0" fontId="102" fillId="0" borderId="23" xfId="0" applyFont="1" applyBorder="1" applyAlignment="1">
      <alignment horizontal="justify" vertical="top" wrapText="1"/>
    </xf>
    <xf numFmtId="0" fontId="97" fillId="0" borderId="3" xfId="0" applyFont="1" applyBorder="1" applyAlignment="1">
      <alignment horizontal="justify" vertical="justify" wrapText="1"/>
    </xf>
    <xf numFmtId="0" fontId="97" fillId="0" borderId="13" xfId="0" applyFont="1" applyBorder="1" applyAlignment="1">
      <alignment horizontal="justify" vertical="justify" wrapText="1"/>
    </xf>
    <xf numFmtId="2" fontId="103" fillId="9" borderId="1" xfId="0" applyNumberFormat="1" applyFont="1" applyFill="1" applyBorder="1" applyAlignment="1">
      <alignment horizontal="center"/>
    </xf>
    <xf numFmtId="0" fontId="62" fillId="0" borderId="24" xfId="0" applyFont="1" applyBorder="1" applyAlignment="1">
      <alignment horizontal="center"/>
    </xf>
    <xf numFmtId="0" fontId="62" fillId="0" borderId="25" xfId="0" applyFont="1" applyBorder="1"/>
    <xf numFmtId="0" fontId="104" fillId="0" borderId="17" xfId="0" applyFont="1" applyBorder="1"/>
    <xf numFmtId="0" fontId="62" fillId="0" borderId="17" xfId="0" applyFont="1" applyBorder="1"/>
    <xf numFmtId="0" fontId="62" fillId="0" borderId="17" xfId="0" applyFont="1" applyBorder="1" applyAlignment="1">
      <alignment horizontal="left"/>
    </xf>
    <xf numFmtId="0" fontId="9" fillId="0" borderId="17" xfId="0" applyFont="1" applyBorder="1"/>
    <xf numFmtId="0" fontId="62" fillId="0" borderId="17" xfId="0" applyFont="1" applyBorder="1" applyAlignment="1">
      <alignment horizontal="center"/>
    </xf>
    <xf numFmtId="0" fontId="105" fillId="0" borderId="17" xfId="0" applyFont="1" applyBorder="1"/>
    <xf numFmtId="0" fontId="62" fillId="0" borderId="26" xfId="0" applyFont="1" applyBorder="1"/>
    <xf numFmtId="0" fontId="0" fillId="10" borderId="1" xfId="0" applyFill="1" applyBorder="1" applyAlignment="1">
      <alignment horizontal="center"/>
    </xf>
    <xf numFmtId="0" fontId="62" fillId="0" borderId="1" xfId="0" applyFont="1" applyFill="1" applyBorder="1" applyAlignment="1">
      <alignment horizontal="center"/>
    </xf>
    <xf numFmtId="166" fontId="62" fillId="0" borderId="2" xfId="0" applyNumberFormat="1" applyFont="1" applyBorder="1"/>
    <xf numFmtId="0" fontId="0" fillId="2" borderId="1" xfId="0" applyFill="1" applyBorder="1" applyAlignment="1">
      <alignment horizontal="right"/>
    </xf>
    <xf numFmtId="2" fontId="0" fillId="2" borderId="1" xfId="0" applyNumberFormat="1" applyFill="1" applyBorder="1" applyAlignment="1">
      <alignment horizontal="right"/>
    </xf>
    <xf numFmtId="166" fontId="0" fillId="0" borderId="0" xfId="0" applyNumberFormat="1"/>
    <xf numFmtId="0" fontId="3" fillId="3" borderId="0" xfId="0" applyFont="1" applyFill="1" applyAlignment="1">
      <alignment horizontal="center"/>
    </xf>
    <xf numFmtId="0" fontId="3" fillId="3" borderId="0" xfId="0" applyFont="1" applyFill="1"/>
    <xf numFmtId="1" fontId="3" fillId="3" borderId="0" xfId="0" applyNumberFormat="1" applyFont="1" applyFill="1"/>
    <xf numFmtId="0" fontId="3" fillId="3" borderId="1" xfId="0" applyFont="1" applyFill="1" applyBorder="1" applyAlignment="1">
      <alignment horizontal="center"/>
    </xf>
    <xf numFmtId="0" fontId="3" fillId="3" borderId="1" xfId="0" applyFont="1" applyFill="1" applyBorder="1" applyAlignment="1">
      <alignment vertical="center"/>
    </xf>
    <xf numFmtId="0" fontId="3" fillId="3" borderId="1" xfId="0" applyFont="1" applyFill="1" applyBorder="1"/>
    <xf numFmtId="1" fontId="3" fillId="3" borderId="1" xfId="0" applyNumberFormat="1" applyFont="1" applyFill="1" applyBorder="1" applyAlignment="1">
      <alignment vertical="center"/>
    </xf>
    <xf numFmtId="0" fontId="3" fillId="15" borderId="1" xfId="0" applyFont="1" applyFill="1" applyBorder="1"/>
    <xf numFmtId="0" fontId="3" fillId="8" borderId="1" xfId="0" applyFont="1" applyFill="1" applyBorder="1"/>
    <xf numFmtId="0" fontId="3" fillId="16" borderId="1" xfId="0" applyFont="1" applyFill="1" applyBorder="1"/>
    <xf numFmtId="0" fontId="4" fillId="3" borderId="1" xfId="0" applyFont="1" applyFill="1" applyBorder="1"/>
    <xf numFmtId="0" fontId="3" fillId="3" borderId="1" xfId="0" applyFont="1" applyFill="1" applyBorder="1" applyAlignment="1"/>
    <xf numFmtId="2" fontId="3" fillId="3" borderId="1" xfId="0" applyNumberFormat="1" applyFont="1" applyFill="1" applyBorder="1"/>
    <xf numFmtId="2" fontId="4" fillId="8" borderId="1" xfId="0" applyNumberFormat="1" applyFont="1" applyFill="1" applyBorder="1"/>
    <xf numFmtId="2" fontId="4" fillId="3" borderId="1" xfId="0" applyNumberFormat="1" applyFont="1" applyFill="1" applyBorder="1"/>
    <xf numFmtId="0" fontId="3" fillId="17" borderId="1" xfId="0" applyFont="1" applyFill="1" applyBorder="1"/>
    <xf numFmtId="0" fontId="3" fillId="9" borderId="1" xfId="0" applyFont="1" applyFill="1" applyBorder="1"/>
    <xf numFmtId="0" fontId="34" fillId="3" borderId="1" xfId="0" applyFont="1" applyFill="1" applyBorder="1"/>
    <xf numFmtId="0" fontId="3" fillId="8" borderId="1" xfId="0" applyFont="1" applyFill="1" applyBorder="1" applyAlignment="1">
      <alignment horizontal="right"/>
    </xf>
    <xf numFmtId="0" fontId="29" fillId="3" borderId="1" xfId="0" applyFont="1" applyFill="1" applyBorder="1"/>
    <xf numFmtId="2" fontId="4" fillId="16" borderId="1" xfId="0" applyNumberFormat="1" applyFont="1" applyFill="1" applyBorder="1"/>
    <xf numFmtId="0" fontId="40" fillId="3" borderId="1" xfId="0" applyFont="1" applyFill="1" applyBorder="1" applyAlignment="1">
      <alignment horizontal="right"/>
    </xf>
    <xf numFmtId="0" fontId="9" fillId="3" borderId="1" xfId="0" applyFont="1" applyFill="1" applyBorder="1" applyAlignment="1"/>
    <xf numFmtId="0" fontId="9" fillId="3" borderId="1" xfId="0" applyFont="1" applyFill="1" applyBorder="1"/>
    <xf numFmtId="2" fontId="14" fillId="3" borderId="1" xfId="0" applyNumberFormat="1" applyFont="1" applyFill="1" applyBorder="1"/>
    <xf numFmtId="2" fontId="104" fillId="3" borderId="1" xfId="0" applyNumberFormat="1" applyFont="1" applyFill="1" applyBorder="1" applyAlignment="1">
      <alignment horizontal="center"/>
    </xf>
    <xf numFmtId="0" fontId="3" fillId="3" borderId="1" xfId="0" applyFont="1" applyFill="1" applyBorder="1" applyAlignment="1">
      <alignment horizontal="left"/>
    </xf>
    <xf numFmtId="2" fontId="104" fillId="8" borderId="1" xfId="0" applyNumberFormat="1" applyFont="1" applyFill="1" applyBorder="1" applyAlignment="1">
      <alignment horizontal="center"/>
    </xf>
    <xf numFmtId="2" fontId="53" fillId="3" borderId="1" xfId="0" applyNumberFormat="1" applyFont="1" applyFill="1" applyBorder="1" applyAlignment="1">
      <alignment horizontal="center"/>
    </xf>
    <xf numFmtId="0" fontId="19" fillId="3" borderId="1" xfId="0" applyFont="1" applyFill="1" applyBorder="1" applyAlignment="1"/>
    <xf numFmtId="0" fontId="19" fillId="3" borderId="1" xfId="0" applyFont="1" applyFill="1" applyBorder="1" applyAlignment="1">
      <alignment horizontal="center"/>
    </xf>
    <xf numFmtId="2" fontId="38" fillId="3" borderId="1" xfId="0" applyNumberFormat="1" applyFont="1" applyFill="1" applyBorder="1" applyAlignment="1">
      <alignment horizontal="center"/>
    </xf>
    <xf numFmtId="0" fontId="108" fillId="3" borderId="1" xfId="0" applyFont="1" applyFill="1" applyBorder="1" applyAlignment="1">
      <alignment horizontal="center"/>
    </xf>
    <xf numFmtId="1" fontId="19" fillId="3" borderId="1" xfId="0" applyNumberFormat="1" applyFont="1" applyFill="1" applyBorder="1" applyAlignment="1">
      <alignment horizontal="center"/>
    </xf>
    <xf numFmtId="2" fontId="19" fillId="3" borderId="1" xfId="0" applyNumberFormat="1" applyFont="1" applyFill="1" applyBorder="1" applyAlignment="1">
      <alignment horizontal="center"/>
    </xf>
    <xf numFmtId="2" fontId="38" fillId="4" borderId="1" xfId="0" applyNumberFormat="1" applyFont="1" applyFill="1" applyBorder="1"/>
    <xf numFmtId="0" fontId="13" fillId="3" borderId="1" xfId="0" applyFont="1" applyFill="1" applyBorder="1" applyAlignment="1">
      <alignment horizontal="center"/>
    </xf>
    <xf numFmtId="0" fontId="5" fillId="3" borderId="1" xfId="0" applyFont="1" applyFill="1" applyBorder="1" applyAlignment="1">
      <alignment wrapText="1"/>
    </xf>
    <xf numFmtId="0" fontId="0" fillId="3" borderId="1" xfId="0" applyFill="1" applyBorder="1" applyAlignment="1">
      <alignment horizontal="center"/>
    </xf>
    <xf numFmtId="2" fontId="0" fillId="3" borderId="1" xfId="0" applyNumberFormat="1" applyFill="1" applyBorder="1"/>
    <xf numFmtId="0" fontId="38" fillId="3" borderId="1" xfId="0" applyFont="1" applyFill="1" applyBorder="1"/>
    <xf numFmtId="0" fontId="38" fillId="3" borderId="1" xfId="0" applyFont="1" applyFill="1" applyBorder="1" applyAlignment="1">
      <alignment horizontal="center"/>
    </xf>
    <xf numFmtId="2" fontId="38" fillId="3" borderId="1" xfId="0" applyNumberFormat="1" applyFont="1" applyFill="1" applyBorder="1"/>
    <xf numFmtId="0" fontId="37" fillId="3" borderId="1" xfId="0" applyFont="1" applyFill="1" applyBorder="1" applyAlignment="1">
      <alignment horizontal="right"/>
    </xf>
    <xf numFmtId="0" fontId="0" fillId="3" borderId="1" xfId="0" applyNumberFormat="1" applyFont="1" applyFill="1" applyBorder="1" applyAlignment="1"/>
    <xf numFmtId="0" fontId="13" fillId="3" borderId="1" xfId="0" applyFont="1" applyFill="1" applyBorder="1" applyAlignment="1">
      <alignment horizontal="right"/>
    </xf>
    <xf numFmtId="0" fontId="13" fillId="3" borderId="0" xfId="0" applyFont="1" applyFill="1" applyBorder="1" applyAlignment="1">
      <alignment horizontal="center"/>
    </xf>
    <xf numFmtId="0" fontId="13" fillId="3" borderId="0" xfId="0" quotePrefix="1" applyFont="1" applyFill="1" applyBorder="1" applyAlignment="1">
      <alignment horizontal="center"/>
    </xf>
    <xf numFmtId="0" fontId="100" fillId="3" borderId="23" xfId="0" applyFont="1" applyFill="1" applyBorder="1" applyAlignment="1">
      <alignment vertical="top" wrapText="1"/>
    </xf>
    <xf numFmtId="0" fontId="100" fillId="3" borderId="23" xfId="0" applyFont="1" applyFill="1" applyBorder="1" applyAlignment="1">
      <alignment horizontal="right" wrapText="1"/>
    </xf>
    <xf numFmtId="0" fontId="13" fillId="3" borderId="1" xfId="0" applyNumberFormat="1" applyFont="1" applyFill="1" applyBorder="1" applyAlignment="1">
      <alignment horizontal="right"/>
    </xf>
    <xf numFmtId="2" fontId="64" fillId="3" borderId="1" xfId="0" applyNumberFormat="1" applyFont="1" applyFill="1" applyBorder="1"/>
    <xf numFmtId="2" fontId="64" fillId="3" borderId="0" xfId="0" applyNumberFormat="1" applyFont="1" applyFill="1" applyBorder="1"/>
    <xf numFmtId="0" fontId="0" fillId="3" borderId="1" xfId="0" applyFill="1" applyBorder="1"/>
    <xf numFmtId="0" fontId="109" fillId="3" borderId="1" xfId="0" quotePrefix="1" applyFont="1" applyFill="1" applyBorder="1" applyAlignment="1">
      <alignment horizontal="right"/>
    </xf>
    <xf numFmtId="0" fontId="0" fillId="3" borderId="0" xfId="0" applyFill="1" applyBorder="1"/>
    <xf numFmtId="0" fontId="3" fillId="3" borderId="0" xfId="0" applyFont="1" applyFill="1" applyBorder="1"/>
    <xf numFmtId="2" fontId="41" fillId="3" borderId="1" xfId="0" applyNumberFormat="1" applyFont="1" applyFill="1" applyBorder="1"/>
    <xf numFmtId="2" fontId="109" fillId="3" borderId="1" xfId="0" applyNumberFormat="1" applyFont="1" applyFill="1" applyBorder="1"/>
    <xf numFmtId="164" fontId="8" fillId="3" borderId="1" xfId="0" applyNumberFormat="1" applyFont="1" applyFill="1" applyBorder="1"/>
    <xf numFmtId="2" fontId="0" fillId="3" borderId="0" xfId="0" applyNumberFormat="1" applyFill="1" applyBorder="1"/>
    <xf numFmtId="0" fontId="110" fillId="3" borderId="1" xfId="0" applyFont="1" applyFill="1" applyBorder="1" applyAlignment="1">
      <alignment horizontal="center"/>
    </xf>
    <xf numFmtId="0" fontId="111" fillId="3" borderId="1" xfId="0" applyFont="1" applyFill="1" applyBorder="1" applyAlignment="1">
      <alignment horizontal="center"/>
    </xf>
    <xf numFmtId="0" fontId="112" fillId="3" borderId="1" xfId="0" applyFont="1" applyFill="1" applyBorder="1" applyAlignment="1">
      <alignment horizontal="center"/>
    </xf>
    <xf numFmtId="0" fontId="9" fillId="8" borderId="1" xfId="0" applyFont="1" applyFill="1" applyBorder="1" applyAlignment="1">
      <alignment horizontal="center"/>
    </xf>
    <xf numFmtId="0" fontId="9" fillId="3" borderId="1" xfId="0" applyFont="1" applyFill="1" applyBorder="1" applyAlignment="1">
      <alignment horizontal="center"/>
    </xf>
    <xf numFmtId="0" fontId="14" fillId="3" borderId="1" xfId="0" quotePrefix="1" applyFont="1" applyFill="1" applyBorder="1" applyAlignment="1">
      <alignment horizontal="center"/>
    </xf>
    <xf numFmtId="0" fontId="21" fillId="3" borderId="1" xfId="0" applyFont="1" applyFill="1" applyBorder="1" applyAlignment="1">
      <alignment horizontal="center"/>
    </xf>
    <xf numFmtId="0" fontId="3" fillId="10" borderId="1" xfId="0" applyFont="1" applyFill="1" applyBorder="1" applyAlignment="1">
      <alignment horizontal="center"/>
    </xf>
    <xf numFmtId="2" fontId="0" fillId="10" borderId="1" xfId="0" applyNumberFormat="1" applyFill="1" applyBorder="1" applyAlignment="1">
      <alignment horizontal="center"/>
    </xf>
    <xf numFmtId="165" fontId="19" fillId="10" borderId="1" xfId="0" applyNumberFormat="1" applyFont="1" applyFill="1" applyBorder="1" applyAlignment="1">
      <alignment horizontal="center"/>
    </xf>
    <xf numFmtId="165" fontId="0" fillId="2" borderId="1" xfId="0" applyNumberFormat="1" applyFill="1" applyBorder="1"/>
    <xf numFmtId="0" fontId="0" fillId="10" borderId="1" xfId="0" applyFill="1" applyBorder="1" applyAlignment="1">
      <alignment horizontal="right"/>
    </xf>
    <xf numFmtId="0" fontId="19" fillId="18" borderId="1" xfId="0" applyFont="1" applyFill="1" applyBorder="1"/>
    <xf numFmtId="0" fontId="3" fillId="18" borderId="1" xfId="0" applyFont="1" applyFill="1" applyBorder="1"/>
    <xf numFmtId="0" fontId="3" fillId="18" borderId="0" xfId="0" applyFont="1" applyFill="1"/>
    <xf numFmtId="2" fontId="19" fillId="10" borderId="1" xfId="0" applyNumberFormat="1" applyFont="1" applyFill="1" applyBorder="1" applyAlignment="1">
      <alignment horizontal="center"/>
    </xf>
    <xf numFmtId="0" fontId="0" fillId="18" borderId="1" xfId="0" applyFill="1" applyBorder="1"/>
    <xf numFmtId="0" fontId="0" fillId="3" borderId="0" xfId="0" applyFill="1"/>
    <xf numFmtId="0" fontId="0" fillId="18" borderId="0" xfId="0" applyFill="1"/>
    <xf numFmtId="0" fontId="34" fillId="0" borderId="0" xfId="0" applyFont="1" applyAlignment="1">
      <alignment horizontal="centerContinuous"/>
    </xf>
    <xf numFmtId="0" fontId="2" fillId="9" borderId="16" xfId="0" applyFont="1" applyFill="1" applyBorder="1" applyAlignment="1">
      <alignment horizontal="center"/>
    </xf>
    <xf numFmtId="9" fontId="2" fillId="9" borderId="16" xfId="0" applyNumberFormat="1" applyFont="1" applyFill="1" applyBorder="1" applyAlignment="1">
      <alignment horizontal="center"/>
    </xf>
    <xf numFmtId="0" fontId="3" fillId="9" borderId="1" xfId="0" applyFont="1" applyFill="1" applyBorder="1" applyAlignment="1">
      <alignment horizontal="center"/>
    </xf>
    <xf numFmtId="9" fontId="3" fillId="0" borderId="1" xfId="0" applyNumberFormat="1" applyFont="1" applyBorder="1"/>
    <xf numFmtId="0" fontId="34" fillId="19" borderId="1" xfId="0" applyFont="1" applyFill="1" applyBorder="1" applyAlignment="1">
      <alignment horizontal="left"/>
    </xf>
    <xf numFmtId="0" fontId="34" fillId="0" borderId="0" xfId="0" applyFont="1" applyFill="1"/>
    <xf numFmtId="9" fontId="3" fillId="0" borderId="0" xfId="0" applyNumberFormat="1" applyFont="1"/>
    <xf numFmtId="0" fontId="3" fillId="0" borderId="1" xfId="0" applyFont="1" applyFill="1" applyBorder="1"/>
    <xf numFmtId="0" fontId="3" fillId="0" borderId="0" xfId="0" applyFont="1" applyFill="1"/>
    <xf numFmtId="9" fontId="3" fillId="0" borderId="0" xfId="0" applyNumberFormat="1" applyFont="1" applyFill="1"/>
    <xf numFmtId="2" fontId="3" fillId="0" borderId="0" xfId="0" applyNumberFormat="1" applyFont="1" applyFill="1"/>
    <xf numFmtId="0" fontId="3" fillId="20" borderId="1" xfId="0" applyFont="1" applyFill="1" applyBorder="1"/>
    <xf numFmtId="0" fontId="2" fillId="0" borderId="27" xfId="0" applyFont="1" applyBorder="1"/>
    <xf numFmtId="0" fontId="2" fillId="0" borderId="28" xfId="0" applyFont="1" applyBorder="1"/>
    <xf numFmtId="2" fontId="2" fillId="0" borderId="19" xfId="0" applyNumberFormat="1" applyFont="1" applyBorder="1"/>
    <xf numFmtId="164" fontId="3" fillId="0" borderId="0" xfId="0" applyNumberFormat="1" applyFont="1"/>
    <xf numFmtId="164" fontId="3" fillId="0" borderId="0" xfId="0" applyNumberFormat="1" applyFont="1" applyFill="1"/>
    <xf numFmtId="2" fontId="2" fillId="0" borderId="18" xfId="0" applyNumberFormat="1" applyFont="1" applyBorder="1"/>
    <xf numFmtId="2" fontId="3" fillId="0" borderId="0" xfId="0" applyNumberFormat="1" applyFont="1" applyFill="1" applyBorder="1"/>
    <xf numFmtId="2" fontId="2" fillId="0" borderId="0" xfId="0" applyNumberFormat="1" applyFont="1" applyBorder="1"/>
    <xf numFmtId="0" fontId="39" fillId="0" borderId="0" xfId="0" applyFont="1"/>
    <xf numFmtId="2" fontId="39" fillId="0" borderId="0" xfId="0" applyNumberFormat="1" applyFont="1"/>
    <xf numFmtId="0" fontId="3" fillId="0" borderId="27" xfId="0" applyFont="1" applyBorder="1"/>
    <xf numFmtId="0" fontId="34" fillId="8" borderId="0" xfId="0" applyFont="1" applyFill="1"/>
    <xf numFmtId="0" fontId="3" fillId="0" borderId="29" xfId="0" applyFont="1" applyBorder="1" applyAlignment="1">
      <alignment horizontal="right" vertical="center"/>
    </xf>
    <xf numFmtId="0" fontId="3" fillId="0" borderId="29" xfId="0" applyFont="1" applyBorder="1" applyAlignment="1">
      <alignment horizontal="left" vertical="center"/>
    </xf>
    <xf numFmtId="0" fontId="3" fillId="0" borderId="0" xfId="0" applyFont="1" applyBorder="1" applyAlignment="1">
      <alignment horizontal="right" vertical="center"/>
    </xf>
    <xf numFmtId="2" fontId="114" fillId="0" borderId="30" xfId="0" applyNumberFormat="1" applyFont="1" applyBorder="1" applyAlignment="1">
      <alignment horizontal="right" vertical="top" wrapText="1"/>
    </xf>
    <xf numFmtId="2" fontId="3" fillId="8" borderId="0" xfId="0" applyNumberFormat="1" applyFont="1" applyFill="1"/>
    <xf numFmtId="0" fontId="53" fillId="20" borderId="1" xfId="0" applyFont="1" applyFill="1" applyBorder="1"/>
    <xf numFmtId="0" fontId="2" fillId="0" borderId="3" xfId="0" applyFont="1" applyBorder="1"/>
    <xf numFmtId="0" fontId="2" fillId="0" borderId="2" xfId="0" applyFont="1" applyBorder="1"/>
    <xf numFmtId="2" fontId="2" fillId="0" borderId="13" xfId="0" applyNumberFormat="1" applyFont="1" applyBorder="1"/>
    <xf numFmtId="2" fontId="2" fillId="0" borderId="0" xfId="0" applyNumberFormat="1" applyFont="1" applyFill="1" applyBorder="1"/>
    <xf numFmtId="165" fontId="39" fillId="0" borderId="0" xfId="0" applyNumberFormat="1" applyFont="1"/>
    <xf numFmtId="0" fontId="2" fillId="0" borderId="0" xfId="0" applyFont="1" applyFill="1" applyBorder="1"/>
    <xf numFmtId="0" fontId="34" fillId="0" borderId="0" xfId="0" applyFont="1" applyAlignment="1">
      <alignment vertical="top"/>
    </xf>
    <xf numFmtId="1" fontId="2" fillId="9" borderId="1" xfId="0" applyNumberFormat="1" applyFont="1" applyFill="1" applyBorder="1"/>
    <xf numFmtId="2" fontId="4" fillId="0" borderId="0" xfId="0" applyNumberFormat="1" applyFont="1"/>
    <xf numFmtId="0" fontId="52" fillId="0" borderId="0" xfId="0" applyFont="1" applyFill="1"/>
    <xf numFmtId="0" fontId="3" fillId="0" borderId="0" xfId="0" applyFont="1" applyFill="1" applyBorder="1"/>
    <xf numFmtId="0" fontId="34" fillId="20" borderId="0" xfId="0" applyFont="1" applyFill="1"/>
    <xf numFmtId="0" fontId="34" fillId="8" borderId="1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0" xfId="0" applyFont="1" applyAlignment="1">
      <alignment horizontal="center" vertical="center" wrapText="1"/>
    </xf>
    <xf numFmtId="2" fontId="3" fillId="0" borderId="1" xfId="0" applyNumberFormat="1" applyFont="1" applyBorder="1"/>
    <xf numFmtId="2" fontId="4" fillId="0" borderId="1" xfId="0" applyNumberFormat="1" applyFont="1" applyBorder="1"/>
    <xf numFmtId="0" fontId="77" fillId="0" borderId="0" xfId="0" applyFont="1"/>
    <xf numFmtId="20" fontId="3" fillId="8" borderId="1" xfId="0" applyNumberFormat="1" applyFont="1" applyFill="1" applyBorder="1"/>
    <xf numFmtId="2" fontId="3" fillId="0" borderId="11" xfId="0" applyNumberFormat="1" applyFont="1" applyFill="1" applyBorder="1"/>
    <xf numFmtId="0" fontId="49" fillId="8" borderId="1" xfId="0" applyFont="1" applyFill="1" applyBorder="1"/>
    <xf numFmtId="2" fontId="115" fillId="0" borderId="0" xfId="0" applyNumberFormat="1" applyFont="1" applyBorder="1"/>
    <xf numFmtId="2" fontId="3" fillId="0" borderId="0" xfId="0" quotePrefix="1" applyNumberFormat="1" applyFont="1" applyAlignment="1">
      <alignment horizontal="right"/>
    </xf>
    <xf numFmtId="174" fontId="46" fillId="0" borderId="30" xfId="0" applyNumberFormat="1" applyFont="1" applyFill="1" applyBorder="1" applyAlignment="1">
      <alignment horizontal="justify" vertical="top" wrapText="1"/>
    </xf>
    <xf numFmtId="2" fontId="2" fillId="0" borderId="2" xfId="0" applyNumberFormat="1" applyFont="1" applyBorder="1"/>
    <xf numFmtId="2" fontId="2" fillId="0" borderId="0" xfId="0" applyNumberFormat="1" applyFont="1"/>
    <xf numFmtId="0" fontId="34" fillId="0" borderId="0" xfId="0" applyFont="1" applyFill="1" applyAlignment="1">
      <alignment vertical="top"/>
    </xf>
    <xf numFmtId="0" fontId="3" fillId="0" borderId="0" xfId="0" applyFont="1" applyBorder="1" applyAlignment="1">
      <alignment horizontal="left" vertical="top"/>
    </xf>
    <xf numFmtId="0" fontId="3" fillId="0" borderId="0" xfId="0" applyFont="1" applyAlignment="1">
      <alignment wrapText="1"/>
    </xf>
    <xf numFmtId="2" fontId="2" fillId="0" borderId="0" xfId="0" applyNumberFormat="1" applyFont="1" applyBorder="1" applyAlignment="1">
      <alignment horizontal="right"/>
    </xf>
    <xf numFmtId="2" fontId="3" fillId="0" borderId="0" xfId="0" applyNumberFormat="1" applyFont="1" applyAlignment="1">
      <alignment vertical="center"/>
    </xf>
    <xf numFmtId="0" fontId="3" fillId="0" borderId="0" xfId="0" applyFont="1" applyAlignment="1">
      <alignment vertical="center"/>
    </xf>
    <xf numFmtId="0" fontId="116" fillId="8" borderId="1" xfId="0" applyFont="1" applyFill="1" applyBorder="1" applyAlignment="1">
      <alignment horizontal="center"/>
    </xf>
    <xf numFmtId="0" fontId="32" fillId="0" borderId="30" xfId="0" applyFont="1" applyFill="1" applyBorder="1" applyAlignment="1">
      <alignment horizontal="justify" vertical="top" wrapText="1"/>
    </xf>
    <xf numFmtId="0" fontId="46" fillId="0" borderId="30" xfId="0" applyFont="1" applyFill="1" applyBorder="1" applyAlignment="1">
      <alignment horizontal="justify" vertical="top" wrapText="1"/>
    </xf>
    <xf numFmtId="2" fontId="3" fillId="21" borderId="0" xfId="0" applyNumberFormat="1" applyFont="1" applyFill="1" applyAlignment="1">
      <alignment vertical="center"/>
    </xf>
    <xf numFmtId="0" fontId="34" fillId="16" borderId="0" xfId="0" applyFont="1" applyFill="1"/>
    <xf numFmtId="0" fontId="3" fillId="16" borderId="0" xfId="0" applyFont="1" applyFill="1" applyBorder="1" applyAlignment="1">
      <alignment horizontal="center" vertical="top"/>
    </xf>
    <xf numFmtId="0" fontId="3" fillId="16" borderId="0" xfId="0" applyFont="1" applyFill="1"/>
    <xf numFmtId="2" fontId="3" fillId="16" borderId="0" xfId="0" applyNumberFormat="1" applyFont="1" applyFill="1" applyBorder="1"/>
    <xf numFmtId="0" fontId="3" fillId="16" borderId="0" xfId="0" applyFont="1" applyFill="1" applyBorder="1"/>
    <xf numFmtId="165" fontId="3" fillId="16" borderId="0" xfId="0" applyNumberFormat="1" applyFont="1" applyFill="1" applyBorder="1"/>
    <xf numFmtId="9" fontId="3" fillId="16" borderId="0" xfId="0" applyNumberFormat="1" applyFont="1" applyFill="1"/>
    <xf numFmtId="2" fontId="3" fillId="16" borderId="0" xfId="0" applyNumberFormat="1" applyFont="1" applyFill="1"/>
    <xf numFmtId="0" fontId="3" fillId="16" borderId="0" xfId="0" applyFont="1" applyFill="1" applyAlignment="1">
      <alignment horizontal="right"/>
    </xf>
    <xf numFmtId="0" fontId="2" fillId="0" borderId="0" xfId="0" applyFont="1" applyAlignment="1">
      <alignment vertical="top" wrapText="1"/>
    </xf>
    <xf numFmtId="0" fontId="39" fillId="0" borderId="0" xfId="0" applyFont="1" applyAlignment="1">
      <alignment wrapText="1"/>
    </xf>
    <xf numFmtId="0" fontId="39" fillId="0" borderId="0" xfId="0" applyFont="1" applyAlignment="1">
      <alignment horizontal="center"/>
    </xf>
    <xf numFmtId="0" fontId="34" fillId="3" borderId="0" xfId="0" applyFont="1" applyFill="1" applyAlignment="1">
      <alignment horizontal="left" vertical="top"/>
    </xf>
    <xf numFmtId="0" fontId="2" fillId="17" borderId="0" xfId="0" applyFont="1" applyFill="1" applyAlignment="1">
      <alignment horizontal="left" vertical="top" wrapText="1"/>
    </xf>
    <xf numFmtId="0" fontId="2" fillId="3" borderId="0" xfId="0" applyFont="1" applyFill="1" applyAlignment="1">
      <alignment horizontal="left" vertical="top" wrapText="1"/>
    </xf>
    <xf numFmtId="0" fontId="3" fillId="3" borderId="0" xfId="0" applyFont="1" applyFill="1" applyAlignment="1">
      <alignment horizontal="left"/>
    </xf>
    <xf numFmtId="0" fontId="34" fillId="3" borderId="0" xfId="0" applyFont="1" applyFill="1" applyAlignment="1">
      <alignment vertical="top"/>
    </xf>
    <xf numFmtId="0" fontId="39" fillId="3" borderId="0" xfId="0" applyFont="1" applyFill="1"/>
    <xf numFmtId="0" fontId="34" fillId="3" borderId="0" xfId="0" applyFont="1" applyFill="1"/>
    <xf numFmtId="2" fontId="3" fillId="3" borderId="0" xfId="0" applyNumberFormat="1" applyFont="1" applyFill="1"/>
    <xf numFmtId="0" fontId="39" fillId="3" borderId="0" xfId="0" applyFont="1" applyFill="1" applyAlignment="1">
      <alignment horizontal="center"/>
    </xf>
    <xf numFmtId="0" fontId="11" fillId="3" borderId="30" xfId="0" applyFont="1" applyFill="1" applyBorder="1" applyAlignment="1">
      <alignment horizontal="justify" vertical="top" wrapText="1"/>
    </xf>
    <xf numFmtId="174" fontId="8" fillId="3" borderId="30" xfId="0" applyNumberFormat="1" applyFont="1" applyFill="1" applyBorder="1" applyAlignment="1">
      <alignment horizontal="center" vertical="top" wrapText="1"/>
    </xf>
    <xf numFmtId="175" fontId="8" fillId="3" borderId="30" xfId="1" applyNumberFormat="1" applyFont="1" applyFill="1" applyBorder="1" applyAlignment="1">
      <alignment horizontal="center" vertical="top" wrapText="1"/>
    </xf>
    <xf numFmtId="0" fontId="15" fillId="3" borderId="30" xfId="0" applyFont="1" applyFill="1" applyBorder="1" applyAlignment="1">
      <alignment horizontal="justify" vertical="top" wrapText="1"/>
    </xf>
    <xf numFmtId="0" fontId="39" fillId="3" borderId="0" xfId="0" applyFont="1" applyFill="1" applyAlignment="1">
      <alignment wrapText="1"/>
    </xf>
    <xf numFmtId="2" fontId="4" fillId="3" borderId="0" xfId="0" applyNumberFormat="1" applyFont="1" applyFill="1"/>
    <xf numFmtId="9" fontId="3" fillId="3" borderId="0" xfId="0" applyNumberFormat="1" applyFont="1" applyFill="1"/>
    <xf numFmtId="2" fontId="3" fillId="3" borderId="0" xfId="0" applyNumberFormat="1" applyFont="1" applyFill="1" applyBorder="1"/>
    <xf numFmtId="2" fontId="2" fillId="3" borderId="18" xfId="0" applyNumberFormat="1" applyFont="1" applyFill="1" applyBorder="1"/>
    <xf numFmtId="2" fontId="2" fillId="3" borderId="0" xfId="0" applyNumberFormat="1" applyFont="1" applyFill="1" applyBorder="1"/>
    <xf numFmtId="0" fontId="62" fillId="3" borderId="0" xfId="0" applyFont="1" applyFill="1"/>
    <xf numFmtId="165" fontId="39" fillId="3" borderId="0" xfId="0" applyNumberFormat="1" applyFont="1" applyFill="1"/>
    <xf numFmtId="1" fontId="2" fillId="0" borderId="0" xfId="0" applyNumberFormat="1" applyFont="1" applyFill="1" applyBorder="1"/>
    <xf numFmtId="0" fontId="34" fillId="9" borderId="0" xfId="0" applyFont="1" applyFill="1" applyAlignment="1">
      <alignment vertical="top"/>
    </xf>
    <xf numFmtId="0" fontId="3" fillId="2" borderId="1" xfId="0" applyFont="1" applyFill="1" applyBorder="1" applyAlignment="1">
      <alignment horizontal="center"/>
    </xf>
    <xf numFmtId="1" fontId="2" fillId="9" borderId="1" xfId="0" applyNumberFormat="1" applyFont="1" applyFill="1" applyBorder="1" applyAlignment="1">
      <alignment horizontal="center"/>
    </xf>
    <xf numFmtId="1" fontId="2" fillId="0" borderId="0" xfId="0" applyNumberFormat="1" applyFont="1"/>
    <xf numFmtId="1" fontId="2" fillId="8" borderId="1" xfId="0" applyNumberFormat="1" applyFont="1" applyFill="1" applyBorder="1"/>
    <xf numFmtId="0" fontId="3" fillId="8" borderId="1" xfId="0" applyFont="1" applyFill="1" applyBorder="1" applyAlignment="1">
      <alignment horizontal="center"/>
    </xf>
    <xf numFmtId="2" fontId="4" fillId="0" borderId="0" xfId="0" applyNumberFormat="1" applyFont="1" applyFill="1" applyAlignment="1">
      <alignment vertical="top" wrapText="1"/>
    </xf>
    <xf numFmtId="0" fontId="3" fillId="0" borderId="0" xfId="0" quotePrefix="1" applyFont="1" applyFill="1" applyBorder="1" applyAlignment="1">
      <alignment vertical="top" wrapText="1"/>
    </xf>
    <xf numFmtId="0" fontId="3" fillId="0" borderId="0" xfId="0" quotePrefix="1" applyFont="1" applyFill="1" applyAlignment="1">
      <alignment horizontal="left" vertical="top"/>
    </xf>
    <xf numFmtId="0" fontId="3" fillId="2" borderId="0" xfId="0" applyFont="1" applyFill="1" applyBorder="1"/>
    <xf numFmtId="0" fontId="34" fillId="2" borderId="1" xfId="0" applyFont="1" applyFill="1" applyBorder="1" applyAlignment="1">
      <alignment horizontal="left"/>
    </xf>
    <xf numFmtId="1" fontId="2" fillId="0" borderId="1" xfId="0" applyNumberFormat="1" applyFont="1" applyFill="1" applyBorder="1" applyAlignment="1">
      <alignment horizontal="center"/>
    </xf>
    <xf numFmtId="0" fontId="2" fillId="0" borderId="0" xfId="0" applyFont="1" applyFill="1"/>
    <xf numFmtId="2" fontId="3" fillId="0" borderId="1" xfId="0" applyNumberFormat="1" applyFont="1" applyFill="1" applyBorder="1"/>
    <xf numFmtId="0" fontId="3" fillId="0" borderId="0" xfId="0" applyFont="1" applyFill="1" applyAlignment="1">
      <alignment horizontal="center"/>
    </xf>
    <xf numFmtId="2" fontId="2" fillId="0" borderId="18" xfId="0" applyNumberFormat="1" applyFont="1" applyFill="1" applyBorder="1"/>
    <xf numFmtId="0" fontId="34" fillId="2" borderId="1" xfId="0" applyFont="1" applyFill="1" applyBorder="1" applyAlignment="1">
      <alignment horizontal="center"/>
    </xf>
    <xf numFmtId="0" fontId="3" fillId="0" borderId="0" xfId="0" applyFont="1" applyAlignment="1">
      <alignment horizontal="justify" vertical="justify" wrapText="1"/>
    </xf>
    <xf numFmtId="0" fontId="34" fillId="2" borderId="1" xfId="0" applyFont="1" applyFill="1" applyBorder="1"/>
    <xf numFmtId="0" fontId="54" fillId="0" borderId="0" xfId="0" applyFont="1"/>
    <xf numFmtId="0" fontId="2" fillId="14" borderId="0" xfId="0" applyFont="1" applyFill="1" applyAlignment="1">
      <alignment vertical="top" wrapText="1"/>
    </xf>
    <xf numFmtId="0" fontId="3" fillId="0" borderId="0" xfId="0" applyFont="1" applyFill="1" applyBorder="1" applyAlignment="1">
      <alignment horizontal="center"/>
    </xf>
    <xf numFmtId="2" fontId="3" fillId="0" borderId="0" xfId="0" applyNumberFormat="1" applyFont="1" applyFill="1" applyBorder="1" applyAlignment="1">
      <alignment horizontal="center"/>
    </xf>
    <xf numFmtId="0" fontId="3" fillId="0" borderId="0" xfId="0" quotePrefix="1" applyFont="1" applyFill="1" applyAlignment="1">
      <alignment vertical="top"/>
    </xf>
    <xf numFmtId="0" fontId="2" fillId="8" borderId="1" xfId="0" applyFont="1" applyFill="1" applyBorder="1"/>
    <xf numFmtId="2" fontId="3" fillId="2" borderId="1" xfId="0" applyNumberFormat="1" applyFont="1" applyFill="1" applyBorder="1" applyAlignment="1">
      <alignment horizontal="center"/>
    </xf>
    <xf numFmtId="0" fontId="34" fillId="21" borderId="0" xfId="0" applyFont="1" applyFill="1"/>
    <xf numFmtId="0" fontId="34" fillId="19" borderId="1" xfId="0" applyFont="1" applyFill="1" applyBorder="1"/>
    <xf numFmtId="0" fontId="117" fillId="8" borderId="3" xfId="0" applyFont="1" applyFill="1" applyBorder="1"/>
    <xf numFmtId="0" fontId="53" fillId="8" borderId="13" xfId="0" applyFont="1" applyFill="1" applyBorder="1"/>
    <xf numFmtId="0" fontId="118" fillId="0" borderId="0" xfId="0" applyFont="1" applyFill="1" applyAlignment="1">
      <alignment vertical="top" wrapText="1"/>
    </xf>
    <xf numFmtId="0" fontId="119" fillId="0" borderId="0" xfId="0" applyFont="1" applyFill="1"/>
    <xf numFmtId="2" fontId="119" fillId="0" borderId="0" xfId="0" applyNumberFormat="1" applyFont="1" applyFill="1"/>
    <xf numFmtId="2" fontId="119" fillId="0" borderId="0" xfId="0" applyNumberFormat="1" applyFont="1" applyFill="1" applyBorder="1"/>
    <xf numFmtId="2" fontId="118" fillId="0" borderId="18" xfId="0" applyNumberFormat="1" applyFont="1" applyFill="1" applyBorder="1"/>
    <xf numFmtId="0" fontId="3" fillId="22" borderId="1" xfId="0" applyFont="1" applyFill="1" applyBorder="1"/>
    <xf numFmtId="0" fontId="34" fillId="22" borderId="0" xfId="0" applyFont="1" applyFill="1" applyAlignment="1">
      <alignment vertical="top"/>
    </xf>
    <xf numFmtId="0" fontId="2" fillId="22" borderId="0" xfId="0" applyFont="1" applyFill="1" applyAlignment="1">
      <alignment vertical="top" wrapText="1"/>
    </xf>
    <xf numFmtId="0" fontId="3" fillId="22" borderId="0" xfId="0" applyFont="1" applyFill="1"/>
    <xf numFmtId="0" fontId="34" fillId="22" borderId="0" xfId="0" applyFont="1" applyFill="1"/>
    <xf numFmtId="2" fontId="4" fillId="22" borderId="0" xfId="0" applyNumberFormat="1" applyFont="1" applyFill="1"/>
    <xf numFmtId="2" fontId="3" fillId="22" borderId="0" xfId="0" applyNumberFormat="1" applyFont="1" applyFill="1"/>
    <xf numFmtId="2" fontId="3" fillId="22" borderId="0" xfId="0" applyNumberFormat="1" applyFont="1" applyFill="1" applyBorder="1"/>
    <xf numFmtId="9" fontId="3" fillId="22" borderId="0" xfId="0" applyNumberFormat="1" applyFont="1" applyFill="1"/>
    <xf numFmtId="2" fontId="3" fillId="22" borderId="11" xfId="0" applyNumberFormat="1" applyFont="1" applyFill="1" applyBorder="1"/>
    <xf numFmtId="2" fontId="2" fillId="22" borderId="18" xfId="0" applyNumberFormat="1" applyFont="1" applyFill="1" applyBorder="1"/>
    <xf numFmtId="0" fontId="3" fillId="0" borderId="0" xfId="0" applyFont="1" applyAlignment="1">
      <alignment vertical="top" wrapText="1"/>
    </xf>
    <xf numFmtId="0" fontId="3" fillId="0" borderId="0" xfId="0" quotePrefix="1" applyFont="1" applyAlignment="1">
      <alignment vertical="center"/>
    </xf>
    <xf numFmtId="2" fontId="4" fillId="0" borderId="0" xfId="0" applyNumberFormat="1" applyFont="1" applyAlignment="1">
      <alignment vertical="center"/>
    </xf>
    <xf numFmtId="2" fontId="3" fillId="0" borderId="0" xfId="0" applyNumberFormat="1" applyFont="1" applyAlignment="1">
      <alignment horizontal="right" vertical="center"/>
    </xf>
    <xf numFmtId="0" fontId="3" fillId="0" borderId="0" xfId="0" applyFont="1" applyAlignment="1">
      <alignment horizontal="right" vertical="center"/>
    </xf>
    <xf numFmtId="0" fontId="3" fillId="0" borderId="27" xfId="0" applyFont="1" applyBorder="1" applyAlignment="1">
      <alignment vertical="center"/>
    </xf>
    <xf numFmtId="0" fontId="2" fillId="0" borderId="28" xfId="0" applyFont="1" applyBorder="1" applyAlignment="1">
      <alignment vertical="center"/>
    </xf>
    <xf numFmtId="2" fontId="4" fillId="2" borderId="0" xfId="0" applyNumberFormat="1" applyFont="1" applyFill="1"/>
    <xf numFmtId="2" fontId="3" fillId="2" borderId="0" xfId="0" applyNumberFormat="1" applyFont="1" applyFill="1"/>
    <xf numFmtId="0" fontId="76" fillId="2" borderId="1" xfId="0" applyFont="1" applyFill="1" applyBorder="1" applyAlignment="1">
      <alignment horizontal="center"/>
    </xf>
    <xf numFmtId="0" fontId="120" fillId="2" borderId="0" xfId="0" applyFont="1" applyFill="1"/>
    <xf numFmtId="2" fontId="3" fillId="10" borderId="1" xfId="0" applyNumberFormat="1" applyFont="1" applyFill="1" applyBorder="1" applyAlignment="1">
      <alignment horizontal="center"/>
    </xf>
    <xf numFmtId="2" fontId="3" fillId="10" borderId="1" xfId="0" applyNumberFormat="1" applyFont="1" applyFill="1" applyBorder="1"/>
    <xf numFmtId="165" fontId="3" fillId="0" borderId="0" xfId="0" applyNumberFormat="1" applyFont="1"/>
    <xf numFmtId="2" fontId="3" fillId="2" borderId="1" xfId="0" applyNumberFormat="1" applyFont="1" applyFill="1" applyBorder="1"/>
    <xf numFmtId="1" fontId="76" fillId="0" borderId="0" xfId="1" applyNumberFormat="1" applyFont="1"/>
    <xf numFmtId="2" fontId="2" fillId="0" borderId="31" xfId="0" applyNumberFormat="1" applyFont="1" applyBorder="1" applyAlignment="1">
      <alignment horizontal="right"/>
    </xf>
    <xf numFmtId="0" fontId="3" fillId="0" borderId="0" xfId="0" quotePrefix="1" applyFont="1" applyAlignment="1">
      <alignment horizontal="left" wrapText="1"/>
    </xf>
    <xf numFmtId="2" fontId="3" fillId="10" borderId="3" xfId="0" quotePrefix="1" applyNumberFormat="1" applyFont="1" applyFill="1" applyBorder="1" applyAlignment="1">
      <alignment horizontal="center" wrapText="1"/>
    </xf>
    <xf numFmtId="0" fontId="3" fillId="0" borderId="8" xfId="0" quotePrefix="1" applyFont="1" applyFill="1" applyBorder="1" applyAlignment="1">
      <alignment horizontal="left" wrapText="1"/>
    </xf>
    <xf numFmtId="2" fontId="3" fillId="0" borderId="16" xfId="0" applyNumberFormat="1" applyFont="1" applyBorder="1"/>
    <xf numFmtId="1" fontId="3" fillId="2" borderId="1" xfId="0" applyNumberFormat="1" applyFont="1" applyFill="1" applyBorder="1"/>
    <xf numFmtId="2" fontId="3" fillId="0" borderId="0" xfId="0" quotePrefix="1" applyNumberFormat="1" applyFont="1" applyAlignment="1">
      <alignment horizontal="left"/>
    </xf>
    <xf numFmtId="0" fontId="2" fillId="0" borderId="0" xfId="0" applyFont="1" applyAlignment="1">
      <alignment horizontal="left"/>
    </xf>
    <xf numFmtId="0" fontId="3" fillId="8" borderId="0" xfId="0" applyFont="1" applyFill="1"/>
    <xf numFmtId="164" fontId="3" fillId="2" borderId="1" xfId="0" applyNumberFormat="1" applyFont="1" applyFill="1" applyBorder="1"/>
    <xf numFmtId="2" fontId="2" fillId="0" borderId="0" xfId="0" quotePrefix="1" applyNumberFormat="1" applyFont="1" applyAlignment="1">
      <alignment horizontal="left"/>
    </xf>
    <xf numFmtId="2" fontId="2" fillId="0" borderId="2" xfId="0" applyNumberFormat="1" applyFont="1" applyBorder="1" applyAlignment="1">
      <alignment horizontal="right"/>
    </xf>
    <xf numFmtId="0" fontId="104" fillId="22" borderId="1" xfId="0" applyFont="1" applyFill="1" applyBorder="1" applyAlignment="1">
      <alignment horizontal="center"/>
    </xf>
    <xf numFmtId="0" fontId="3" fillId="22" borderId="0" xfId="0" applyFont="1" applyFill="1" applyBorder="1"/>
    <xf numFmtId="2" fontId="2" fillId="22" borderId="0" xfId="0" applyNumberFormat="1" applyFont="1" applyFill="1" applyBorder="1"/>
    <xf numFmtId="2" fontId="120" fillId="2" borderId="0" xfId="0" applyNumberFormat="1" applyFont="1" applyFill="1"/>
    <xf numFmtId="9" fontId="76" fillId="0" borderId="0" xfId="1" applyFont="1"/>
    <xf numFmtId="2" fontId="2" fillId="0" borderId="1" xfId="0" applyNumberFormat="1" applyFont="1" applyBorder="1" applyAlignment="1">
      <alignment horizontal="right"/>
    </xf>
    <xf numFmtId="2" fontId="3" fillId="0" borderId="11" xfId="0" applyNumberFormat="1" applyFont="1" applyBorder="1" applyAlignment="1">
      <alignment horizontal="right"/>
    </xf>
    <xf numFmtId="0" fontId="3" fillId="2" borderId="16" xfId="0" applyFont="1" applyFill="1" applyBorder="1"/>
    <xf numFmtId="10" fontId="3" fillId="0" borderId="0" xfId="0" applyNumberFormat="1" applyFont="1"/>
    <xf numFmtId="2" fontId="2" fillId="0" borderId="11" xfId="0" applyNumberFormat="1" applyFont="1" applyBorder="1" applyAlignment="1">
      <alignment horizontal="right"/>
    </xf>
    <xf numFmtId="2" fontId="2" fillId="0" borderId="0" xfId="0" quotePrefix="1" applyNumberFormat="1" applyFont="1" applyBorder="1" applyAlignment="1">
      <alignment horizontal="left"/>
    </xf>
    <xf numFmtId="0" fontId="46" fillId="0" borderId="0" xfId="0" quotePrefix="1" applyFont="1" applyAlignment="1">
      <alignment horizontal="left"/>
    </xf>
    <xf numFmtId="164" fontId="2" fillId="2" borderId="1" xfId="0" applyNumberFormat="1" applyFont="1" applyFill="1" applyBorder="1"/>
    <xf numFmtId="0" fontId="53" fillId="0" borderId="0" xfId="0" applyFont="1" applyFill="1" applyBorder="1" applyAlignment="1"/>
    <xf numFmtId="0" fontId="53" fillId="8" borderId="1" xfId="0" applyFont="1" applyFill="1" applyBorder="1" applyAlignment="1">
      <alignment horizontal="center"/>
    </xf>
    <xf numFmtId="0" fontId="46" fillId="0" borderId="0" xfId="0" applyFont="1" applyAlignment="1">
      <alignment horizontal="right"/>
    </xf>
    <xf numFmtId="0" fontId="2" fillId="2" borderId="1" xfId="0" applyFont="1" applyFill="1" applyBorder="1"/>
    <xf numFmtId="164" fontId="3" fillId="0" borderId="0" xfId="0" applyNumberFormat="1" applyFont="1" applyFill="1" applyBorder="1"/>
    <xf numFmtId="0" fontId="3" fillId="0" borderId="0" xfId="0" applyFont="1" applyFill="1" applyBorder="1" applyAlignment="1">
      <alignment horizontal="left"/>
    </xf>
    <xf numFmtId="0" fontId="3" fillId="8" borderId="16" xfId="0" applyFont="1" applyFill="1" applyBorder="1" applyAlignment="1">
      <alignment horizontal="center"/>
    </xf>
    <xf numFmtId="2" fontId="3" fillId="8" borderId="1" xfId="0" applyNumberFormat="1" applyFont="1" applyFill="1" applyBorder="1" applyAlignment="1">
      <alignment horizontal="center"/>
    </xf>
    <xf numFmtId="0" fontId="34" fillId="23" borderId="0" xfId="0" applyFont="1" applyFill="1"/>
    <xf numFmtId="2" fontId="76" fillId="0" borderId="0" xfId="0" applyNumberFormat="1" applyFont="1"/>
    <xf numFmtId="10" fontId="3" fillId="0" borderId="0" xfId="0" quotePrefix="1" applyNumberFormat="1" applyFont="1"/>
    <xf numFmtId="2" fontId="3" fillId="9" borderId="1" xfId="0" applyNumberFormat="1" applyFont="1" applyFill="1" applyBorder="1" applyAlignment="1">
      <alignment horizontal="center"/>
    </xf>
    <xf numFmtId="0" fontId="34" fillId="10" borderId="0" xfId="0" applyFont="1" applyFill="1"/>
    <xf numFmtId="164" fontId="3" fillId="9" borderId="1" xfId="0" applyNumberFormat="1" applyFont="1" applyFill="1" applyBorder="1"/>
    <xf numFmtId="0" fontId="115" fillId="9" borderId="1" xfId="0" applyFont="1" applyFill="1" applyBorder="1" applyAlignment="1">
      <alignment horizontal="center"/>
    </xf>
    <xf numFmtId="0" fontId="32" fillId="0" borderId="0" xfId="0" applyFont="1" applyFill="1" applyAlignment="1" applyProtection="1">
      <alignment horizontal="left" wrapText="1"/>
      <protection hidden="1"/>
    </xf>
    <xf numFmtId="0" fontId="3" fillId="0" borderId="0" xfId="0" applyFont="1" applyFill="1" applyProtection="1">
      <protection hidden="1"/>
    </xf>
    <xf numFmtId="0" fontId="3" fillId="0" borderId="0" xfId="0" applyFont="1" applyFill="1" applyAlignment="1" applyProtection="1">
      <alignment wrapText="1"/>
      <protection hidden="1"/>
    </xf>
    <xf numFmtId="0" fontId="46" fillId="0" borderId="0" xfId="0" applyFont="1" applyFill="1" applyAlignment="1" applyProtection="1">
      <alignment horizontal="center" wrapText="1"/>
      <protection hidden="1"/>
    </xf>
    <xf numFmtId="0" fontId="32" fillId="0" borderId="0" xfId="0" applyFont="1" applyFill="1" applyAlignment="1" applyProtection="1">
      <alignment horizontal="center" wrapText="1"/>
      <protection hidden="1"/>
    </xf>
    <xf numFmtId="0" fontId="3" fillId="0" borderId="0" xfId="0" applyFont="1" applyFill="1" applyAlignment="1" applyProtection="1">
      <alignment horizontal="center"/>
      <protection hidden="1"/>
    </xf>
    <xf numFmtId="0" fontId="3" fillId="0" borderId="0" xfId="0" applyFont="1" applyFill="1" applyAlignment="1" applyProtection="1">
      <protection hidden="1"/>
    </xf>
    <xf numFmtId="2" fontId="3" fillId="0" borderId="0" xfId="0" applyNumberFormat="1" applyFont="1" applyFill="1" applyProtection="1">
      <protection hidden="1"/>
    </xf>
    <xf numFmtId="0" fontId="3" fillId="8" borderId="0" xfId="0" applyFont="1" applyFill="1" applyProtection="1">
      <protection hidden="1"/>
    </xf>
    <xf numFmtId="0" fontId="3" fillId="8" borderId="0" xfId="0" applyFont="1" applyFill="1" applyAlignment="1" applyProtection="1">
      <alignment wrapText="1"/>
      <protection hidden="1"/>
    </xf>
    <xf numFmtId="0" fontId="3" fillId="8" borderId="0" xfId="0" applyFont="1" applyFill="1" applyAlignment="1" applyProtection="1">
      <alignment horizontal="center"/>
      <protection hidden="1"/>
    </xf>
    <xf numFmtId="2" fontId="3" fillId="8" borderId="0" xfId="0" applyNumberFormat="1" applyFont="1" applyFill="1" applyProtection="1">
      <protection hidden="1"/>
    </xf>
    <xf numFmtId="0" fontId="3" fillId="0" borderId="0" xfId="0" applyFont="1" applyFill="1" applyBorder="1" applyAlignment="1" applyProtection="1">
      <protection hidden="1"/>
    </xf>
    <xf numFmtId="0" fontId="46" fillId="0" borderId="0" xfId="0" applyFont="1" applyFill="1" applyAlignment="1" applyProtection="1">
      <alignment wrapText="1"/>
      <protection hidden="1"/>
    </xf>
    <xf numFmtId="0" fontId="32" fillId="0" borderId="0" xfId="0" applyFont="1" applyFill="1" applyProtection="1">
      <protection hidden="1"/>
    </xf>
    <xf numFmtId="0" fontId="3" fillId="0" borderId="0" xfId="0" applyFont="1" applyFill="1" applyAlignment="1" applyProtection="1">
      <alignment horizontal="right" wrapText="1"/>
      <protection hidden="1"/>
    </xf>
    <xf numFmtId="0" fontId="3" fillId="0" borderId="0" xfId="0" applyFont="1" applyFill="1" applyAlignment="1" applyProtection="1">
      <alignment horizontal="right"/>
      <protection hidden="1"/>
    </xf>
    <xf numFmtId="2" fontId="3" fillId="0" borderId="0" xfId="0" applyNumberFormat="1" applyFont="1" applyFill="1" applyAlignment="1" applyProtection="1">
      <alignment horizontal="right"/>
      <protection hidden="1"/>
    </xf>
    <xf numFmtId="0" fontId="3" fillId="0" borderId="0" xfId="0" applyFont="1" applyFill="1" applyAlignment="1" applyProtection="1">
      <alignment horizontal="left"/>
      <protection hidden="1"/>
    </xf>
    <xf numFmtId="0" fontId="3" fillId="0" borderId="14" xfId="0" applyFont="1" applyFill="1" applyBorder="1" applyAlignment="1" applyProtection="1">
      <alignment horizontal="center"/>
      <protection hidden="1"/>
    </xf>
    <xf numFmtId="0" fontId="3" fillId="0" borderId="5" xfId="0" applyFont="1" applyFill="1" applyBorder="1" applyAlignment="1" applyProtection="1">
      <alignment horizontal="center" wrapText="1"/>
      <protection hidden="1"/>
    </xf>
    <xf numFmtId="0" fontId="3" fillId="0" borderId="16" xfId="0" applyFont="1" applyFill="1" applyBorder="1" applyAlignment="1" applyProtection="1">
      <alignment horizontal="center"/>
      <protection hidden="1"/>
    </xf>
    <xf numFmtId="0" fontId="3" fillId="0" borderId="10" xfId="0" applyFont="1" applyFill="1" applyBorder="1" applyAlignment="1" applyProtection="1">
      <alignment wrapText="1"/>
      <protection hidden="1"/>
    </xf>
    <xf numFmtId="0" fontId="3" fillId="0" borderId="8" xfId="0" applyFont="1" applyFill="1" applyBorder="1" applyAlignment="1" applyProtection="1">
      <alignment horizontal="center" wrapText="1"/>
      <protection hidden="1"/>
    </xf>
    <xf numFmtId="2" fontId="3" fillId="0" borderId="15" xfId="0" applyNumberFormat="1" applyFont="1" applyFill="1" applyBorder="1" applyProtection="1">
      <protection hidden="1"/>
    </xf>
    <xf numFmtId="2" fontId="53" fillId="0" borderId="15" xfId="0" applyNumberFormat="1" applyFont="1" applyFill="1" applyBorder="1" applyProtection="1">
      <protection hidden="1"/>
    </xf>
    <xf numFmtId="0" fontId="3" fillId="0" borderId="16" xfId="0" applyFont="1" applyFill="1" applyBorder="1" applyAlignment="1" applyProtection="1">
      <alignment horizontal="right"/>
      <protection hidden="1"/>
    </xf>
    <xf numFmtId="0" fontId="3" fillId="0" borderId="8" xfId="0" applyFont="1" applyFill="1" applyBorder="1" applyAlignment="1" applyProtection="1">
      <alignment horizontal="left" wrapText="1"/>
      <protection hidden="1"/>
    </xf>
    <xf numFmtId="0" fontId="3" fillId="0" borderId="15" xfId="0" applyFont="1" applyFill="1" applyBorder="1" applyAlignment="1" applyProtection="1">
      <alignment horizontal="center"/>
      <protection hidden="1"/>
    </xf>
    <xf numFmtId="0" fontId="3" fillId="0" borderId="3" xfId="0" applyFont="1" applyFill="1" applyBorder="1" applyAlignment="1" applyProtection="1">
      <alignment horizontal="center"/>
      <protection hidden="1"/>
    </xf>
    <xf numFmtId="0" fontId="3" fillId="0" borderId="2" xfId="0" applyFont="1" applyFill="1" applyBorder="1" applyAlignment="1" applyProtection="1">
      <alignment horizontal="right" wrapText="1"/>
      <protection hidden="1"/>
    </xf>
    <xf numFmtId="0" fontId="3" fillId="0" borderId="2" xfId="0" applyFont="1" applyFill="1" applyBorder="1" applyProtection="1">
      <protection hidden="1"/>
    </xf>
    <xf numFmtId="0" fontId="3" fillId="0" borderId="13" xfId="0" applyFont="1" applyFill="1" applyBorder="1" applyProtection="1">
      <protection hidden="1"/>
    </xf>
    <xf numFmtId="0" fontId="3" fillId="0" borderId="1" xfId="0" applyFont="1" applyFill="1" applyBorder="1" applyAlignment="1" applyProtection="1">
      <alignment horizontal="right"/>
      <protection hidden="1"/>
    </xf>
    <xf numFmtId="2" fontId="2" fillId="0" borderId="1" xfId="0" applyNumberFormat="1" applyFont="1" applyFill="1" applyBorder="1" applyAlignment="1" applyProtection="1">
      <alignment horizontal="right"/>
      <protection hidden="1"/>
    </xf>
    <xf numFmtId="2" fontId="3" fillId="0" borderId="8" xfId="0" applyNumberFormat="1" applyFont="1" applyFill="1" applyBorder="1" applyProtection="1">
      <protection hidden="1"/>
    </xf>
    <xf numFmtId="2" fontId="53" fillId="0" borderId="0" xfId="0" applyNumberFormat="1" applyFont="1" applyFill="1" applyBorder="1" applyProtection="1">
      <protection hidden="1"/>
    </xf>
    <xf numFmtId="0" fontId="3" fillId="0" borderId="15" xfId="0" applyFont="1" applyFill="1" applyBorder="1" applyAlignment="1" applyProtection="1">
      <alignment horizontal="left" indent="3"/>
      <protection hidden="1"/>
    </xf>
    <xf numFmtId="0" fontId="3" fillId="0" borderId="15" xfId="0" applyFont="1" applyFill="1" applyBorder="1" applyAlignment="1" applyProtection="1">
      <alignment horizontal="right"/>
      <protection hidden="1"/>
    </xf>
    <xf numFmtId="0" fontId="3" fillId="0" borderId="10" xfId="0" applyFont="1" applyFill="1" applyBorder="1" applyAlignment="1" applyProtection="1">
      <alignment horizontal="center"/>
      <protection hidden="1"/>
    </xf>
    <xf numFmtId="0" fontId="3" fillId="0" borderId="11" xfId="0" applyFont="1" applyFill="1" applyBorder="1" applyAlignment="1" applyProtection="1">
      <alignment horizontal="right" wrapText="1"/>
      <protection hidden="1"/>
    </xf>
    <xf numFmtId="0" fontId="3" fillId="0" borderId="11" xfId="0" applyFont="1" applyFill="1" applyBorder="1" applyProtection="1">
      <protection hidden="1"/>
    </xf>
    <xf numFmtId="0" fontId="3" fillId="0" borderId="12" xfId="0" applyFont="1" applyFill="1" applyBorder="1" applyProtection="1">
      <protection hidden="1"/>
    </xf>
    <xf numFmtId="2" fontId="2" fillId="0" borderId="1" xfId="0" applyNumberFormat="1" applyFont="1" applyFill="1" applyBorder="1" applyProtection="1">
      <protection hidden="1"/>
    </xf>
    <xf numFmtId="0" fontId="3" fillId="0" borderId="0" xfId="0" applyFont="1" applyFill="1" applyBorder="1" applyAlignment="1" applyProtection="1">
      <alignment horizontal="left" wrapText="1"/>
      <protection hidden="1"/>
    </xf>
    <xf numFmtId="2" fontId="3" fillId="0" borderId="9" xfId="0" applyNumberFormat="1" applyFont="1" applyFill="1" applyBorder="1" applyProtection="1">
      <protection hidden="1"/>
    </xf>
    <xf numFmtId="0" fontId="23" fillId="0" borderId="0" xfId="0" applyFont="1"/>
    <xf numFmtId="0" fontId="3" fillId="0" borderId="0" xfId="0" applyFont="1" applyFill="1" applyBorder="1" applyProtection="1">
      <protection hidden="1"/>
    </xf>
    <xf numFmtId="0" fontId="3" fillId="0" borderId="0" xfId="0" applyFont="1" applyFill="1" applyBorder="1" applyAlignment="1" applyProtection="1">
      <alignment wrapText="1"/>
      <protection hidden="1"/>
    </xf>
    <xf numFmtId="2" fontId="2" fillId="0" borderId="0" xfId="0" applyNumberFormat="1" applyFont="1" applyFill="1" applyBorder="1" applyAlignment="1" applyProtection="1">
      <alignment horizontal="left"/>
      <protection hidden="1"/>
    </xf>
    <xf numFmtId="2" fontId="2" fillId="0" borderId="2" xfId="0" applyNumberFormat="1" applyFont="1" applyFill="1" applyBorder="1" applyAlignment="1" applyProtection="1">
      <alignment horizontal="left"/>
      <protection hidden="1"/>
    </xf>
    <xf numFmtId="0" fontId="2" fillId="0" borderId="0" xfId="0" applyFont="1" applyFill="1" applyProtection="1">
      <protection hidden="1"/>
    </xf>
    <xf numFmtId="2" fontId="3" fillId="0" borderId="0" xfId="0" applyNumberFormat="1" applyFont="1" applyFill="1" applyBorder="1" applyProtection="1">
      <protection hidden="1"/>
    </xf>
    <xf numFmtId="9" fontId="3" fillId="0" borderId="0" xfId="0" applyNumberFormat="1" applyFont="1" applyFill="1" applyAlignment="1" applyProtection="1">
      <alignment horizontal="right"/>
      <protection hidden="1"/>
    </xf>
    <xf numFmtId="2" fontId="2" fillId="0" borderId="2" xfId="0" applyNumberFormat="1" applyFont="1" applyFill="1" applyBorder="1" applyProtection="1">
      <protection hidden="1"/>
    </xf>
    <xf numFmtId="2" fontId="2" fillId="0" borderId="0" xfId="0" applyNumberFormat="1" applyFont="1" applyFill="1" applyProtection="1">
      <protection hidden="1"/>
    </xf>
    <xf numFmtId="0" fontId="2" fillId="0" borderId="0" xfId="0" applyFont="1" applyFill="1" applyAlignment="1" applyProtection="1">
      <alignment horizontal="left"/>
      <protection hidden="1"/>
    </xf>
    <xf numFmtId="0" fontId="2" fillId="0" borderId="0" xfId="0" applyFont="1" applyFill="1" applyAlignment="1" applyProtection="1">
      <alignment horizontal="left" wrapText="1"/>
      <protection hidden="1"/>
    </xf>
    <xf numFmtId="0" fontId="4" fillId="0" borderId="0" xfId="0" applyFont="1" applyAlignment="1">
      <alignment horizontal="center"/>
    </xf>
    <xf numFmtId="0" fontId="32" fillId="0" borderId="0" xfId="0" applyFont="1" applyAlignment="1" applyProtection="1">
      <alignment horizontal="left" wrapText="1"/>
      <protection hidden="1"/>
    </xf>
    <xf numFmtId="0" fontId="3" fillId="0" borderId="0" xfId="0" applyFont="1" applyProtection="1">
      <protection hidden="1"/>
    </xf>
    <xf numFmtId="0" fontId="3" fillId="0" borderId="0" xfId="0" applyFont="1" applyAlignment="1" applyProtection="1">
      <alignment wrapText="1"/>
      <protection hidden="1"/>
    </xf>
    <xf numFmtId="0" fontId="32" fillId="0" borderId="0" xfId="0" applyFont="1" applyAlignment="1" applyProtection="1">
      <alignment horizontal="center" wrapText="1"/>
      <protection hidden="1"/>
    </xf>
    <xf numFmtId="0" fontId="2" fillId="0" borderId="0" xfId="0" applyFont="1" applyProtection="1">
      <protection hidden="1"/>
    </xf>
    <xf numFmtId="0" fontId="34" fillId="0" borderId="0" xfId="0" applyFont="1" applyFill="1" applyProtection="1">
      <protection hidden="1"/>
    </xf>
    <xf numFmtId="0" fontId="46" fillId="0" borderId="0" xfId="0" applyFont="1" applyAlignment="1" applyProtection="1">
      <alignment horizontal="center" wrapText="1"/>
      <protection hidden="1"/>
    </xf>
    <xf numFmtId="0" fontId="3" fillId="0" borderId="0" xfId="0" applyFont="1" applyAlignment="1" applyProtection="1">
      <alignment horizontal="center"/>
      <protection hidden="1"/>
    </xf>
    <xf numFmtId="0" fontId="46" fillId="0" borderId="0" xfId="0" applyFont="1" applyAlignment="1" applyProtection="1">
      <alignment horizontal="left" wrapText="1"/>
      <protection hidden="1"/>
    </xf>
    <xf numFmtId="2" fontId="3" fillId="0" borderId="0" xfId="0" applyNumberFormat="1" applyFont="1" applyProtection="1">
      <protection hidden="1"/>
    </xf>
    <xf numFmtId="165" fontId="3" fillId="0" borderId="0" xfId="0" applyNumberFormat="1" applyFont="1" applyProtection="1">
      <protection hidden="1"/>
    </xf>
    <xf numFmtId="0" fontId="3" fillId="0" borderId="0" xfId="0" applyFont="1" applyAlignment="1" applyProtection="1">
      <alignment horizontal="right" wrapText="1"/>
      <protection hidden="1"/>
    </xf>
    <xf numFmtId="0" fontId="3" fillId="0" borderId="0" xfId="0" applyFont="1" applyAlignment="1" applyProtection="1">
      <alignment horizontal="right"/>
      <protection hidden="1"/>
    </xf>
    <xf numFmtId="2" fontId="3" fillId="0" borderId="0" xfId="0" applyNumberFormat="1" applyFont="1" applyAlignment="1" applyProtection="1">
      <alignment horizontal="right"/>
      <protection hidden="1"/>
    </xf>
    <xf numFmtId="0" fontId="46" fillId="0" borderId="0" xfId="0" applyFont="1" applyAlignment="1" applyProtection="1">
      <alignment wrapText="1"/>
      <protection hidden="1"/>
    </xf>
    <xf numFmtId="0" fontId="3" fillId="0" borderId="0" xfId="0" applyFont="1" applyAlignment="1" applyProtection="1">
      <alignment horizontal="left"/>
      <protection hidden="1"/>
    </xf>
    <xf numFmtId="0" fontId="3" fillId="0" borderId="14" xfId="0" applyFont="1" applyBorder="1" applyAlignment="1" applyProtection="1">
      <alignment horizontal="center"/>
      <protection hidden="1"/>
    </xf>
    <xf numFmtId="0" fontId="3" fillId="0" borderId="5" xfId="0" applyFont="1" applyBorder="1" applyAlignment="1" applyProtection="1">
      <alignment horizontal="center" wrapText="1"/>
      <protection hidden="1"/>
    </xf>
    <xf numFmtId="0" fontId="3" fillId="0" borderId="16" xfId="0" applyFont="1" applyBorder="1" applyAlignment="1" applyProtection="1">
      <alignment horizontal="center"/>
      <protection hidden="1"/>
    </xf>
    <xf numFmtId="0" fontId="3" fillId="0" borderId="10" xfId="0" applyFont="1" applyBorder="1" applyAlignment="1" applyProtection="1">
      <alignment wrapText="1"/>
      <protection hidden="1"/>
    </xf>
    <xf numFmtId="0" fontId="3" fillId="0" borderId="8" xfId="0" applyFont="1" applyBorder="1" applyAlignment="1" applyProtection="1">
      <alignment horizontal="center" wrapText="1"/>
      <protection hidden="1"/>
    </xf>
    <xf numFmtId="2" fontId="3" fillId="0" borderId="15" xfId="0" applyNumberFormat="1" applyFont="1" applyBorder="1" applyProtection="1">
      <protection hidden="1"/>
    </xf>
    <xf numFmtId="2" fontId="53" fillId="0" borderId="15" xfId="0" applyNumberFormat="1" applyFont="1" applyBorder="1" applyProtection="1">
      <protection hidden="1"/>
    </xf>
    <xf numFmtId="0" fontId="3" fillId="0" borderId="16" xfId="0" applyFont="1" applyBorder="1" applyAlignment="1" applyProtection="1">
      <alignment horizontal="right"/>
      <protection hidden="1"/>
    </xf>
    <xf numFmtId="0" fontId="3" fillId="0" borderId="8" xfId="0" applyFont="1" applyBorder="1" applyAlignment="1" applyProtection="1">
      <alignment horizontal="left" wrapText="1"/>
      <protection hidden="1"/>
    </xf>
    <xf numFmtId="0" fontId="3" fillId="0" borderId="10" xfId="0" applyFont="1" applyBorder="1" applyAlignment="1" applyProtection="1">
      <alignment horizontal="right"/>
      <protection hidden="1"/>
    </xf>
    <xf numFmtId="0" fontId="76" fillId="9" borderId="1" xfId="0" applyFont="1" applyFill="1" applyBorder="1" applyAlignment="1" applyProtection="1">
      <alignment horizontal="left" wrapText="1"/>
      <protection hidden="1"/>
    </xf>
    <xf numFmtId="0" fontId="76" fillId="0" borderId="2" xfId="0" applyFont="1" applyFill="1" applyBorder="1" applyAlignment="1" applyProtection="1">
      <alignment horizontal="center"/>
      <protection hidden="1"/>
    </xf>
    <xf numFmtId="2" fontId="76" fillId="0" borderId="13" xfId="0" applyNumberFormat="1" applyFont="1" applyBorder="1" applyProtection="1">
      <protection hidden="1"/>
    </xf>
    <xf numFmtId="2" fontId="4" fillId="9" borderId="1" xfId="0" applyNumberFormat="1" applyFont="1" applyFill="1" applyBorder="1" applyProtection="1">
      <protection hidden="1"/>
    </xf>
    <xf numFmtId="2" fontId="3" fillId="0" borderId="1" xfId="0" applyNumberFormat="1" applyFont="1" applyBorder="1" applyProtection="1">
      <protection hidden="1"/>
    </xf>
    <xf numFmtId="0" fontId="3" fillId="0" borderId="3" xfId="0" applyFont="1" applyBorder="1" applyAlignment="1" applyProtection="1">
      <alignment horizontal="center"/>
      <protection hidden="1"/>
    </xf>
    <xf numFmtId="0" fontId="3" fillId="0" borderId="2" xfId="0" applyFont="1" applyBorder="1" applyAlignment="1" applyProtection="1">
      <alignment horizontal="right" wrapText="1"/>
      <protection hidden="1"/>
    </xf>
    <xf numFmtId="0" fontId="3" fillId="0" borderId="2" xfId="0" applyFont="1" applyBorder="1" applyProtection="1">
      <protection hidden="1"/>
    </xf>
    <xf numFmtId="0" fontId="3" fillId="0" borderId="13" xfId="0" applyFont="1" applyBorder="1" applyProtection="1">
      <protection hidden="1"/>
    </xf>
    <xf numFmtId="0" fontId="3" fillId="0" borderId="1" xfId="0" applyFont="1" applyBorder="1" applyAlignment="1" applyProtection="1">
      <alignment horizontal="right"/>
      <protection hidden="1"/>
    </xf>
    <xf numFmtId="2" fontId="2" fillId="0" borderId="1" xfId="0" applyNumberFormat="1" applyFont="1" applyBorder="1" applyProtection="1">
      <protection hidden="1"/>
    </xf>
    <xf numFmtId="0" fontId="3" fillId="0" borderId="0" xfId="0" applyFont="1" applyBorder="1" applyAlignment="1" applyProtection="1">
      <alignment wrapText="1"/>
      <protection hidden="1"/>
    </xf>
    <xf numFmtId="2" fontId="3" fillId="0" borderId="9" xfId="0" applyNumberFormat="1" applyFont="1" applyBorder="1" applyAlignment="1" applyProtection="1">
      <alignment horizontal="right"/>
      <protection hidden="1"/>
    </xf>
    <xf numFmtId="0" fontId="3" fillId="0" borderId="15" xfId="0" applyFont="1" applyBorder="1" applyAlignment="1" applyProtection="1">
      <alignment horizontal="left" indent="3"/>
      <protection hidden="1"/>
    </xf>
    <xf numFmtId="0" fontId="3" fillId="0" borderId="15" xfId="0" applyFont="1" applyBorder="1" applyAlignment="1" applyProtection="1">
      <alignment horizontal="center"/>
      <protection hidden="1"/>
    </xf>
    <xf numFmtId="2" fontId="2" fillId="0" borderId="1" xfId="0" applyNumberFormat="1" applyFont="1" applyBorder="1" applyAlignment="1" applyProtection="1">
      <alignment horizontal="right"/>
      <protection hidden="1"/>
    </xf>
    <xf numFmtId="0" fontId="3" fillId="0" borderId="0" xfId="0" applyFont="1" applyBorder="1" applyAlignment="1" applyProtection="1">
      <alignment horizontal="left" wrapText="1"/>
      <protection hidden="1"/>
    </xf>
    <xf numFmtId="2" fontId="3" fillId="0" borderId="9" xfId="0" applyNumberFormat="1" applyFont="1" applyBorder="1" applyProtection="1">
      <protection hidden="1"/>
    </xf>
    <xf numFmtId="0" fontId="3" fillId="0" borderId="0" xfId="0" applyFont="1" applyBorder="1" applyProtection="1">
      <protection hidden="1"/>
    </xf>
    <xf numFmtId="2" fontId="2" fillId="0" borderId="0" xfId="0" applyNumberFormat="1" applyFont="1" applyBorder="1" applyAlignment="1" applyProtection="1">
      <alignment horizontal="left"/>
      <protection hidden="1"/>
    </xf>
    <xf numFmtId="2" fontId="2" fillId="0" borderId="2" xfId="0" applyNumberFormat="1" applyFont="1" applyBorder="1" applyAlignment="1" applyProtection="1">
      <alignment horizontal="left"/>
      <protection hidden="1"/>
    </xf>
    <xf numFmtId="2" fontId="3" fillId="0" borderId="0" xfId="0" applyNumberFormat="1" applyFont="1" applyBorder="1" applyProtection="1">
      <protection hidden="1"/>
    </xf>
    <xf numFmtId="10" fontId="3" fillId="0" borderId="0" xfId="0" applyNumberFormat="1" applyFont="1" applyAlignment="1" applyProtection="1">
      <alignment horizontal="right"/>
      <protection hidden="1"/>
    </xf>
    <xf numFmtId="2" fontId="2" fillId="0" borderId="2" xfId="0" applyNumberFormat="1" applyFont="1" applyBorder="1" applyProtection="1">
      <protection hidden="1"/>
    </xf>
    <xf numFmtId="2" fontId="2" fillId="0" borderId="0" xfId="0" applyNumberFormat="1" applyFont="1" applyProtection="1">
      <protection hidden="1"/>
    </xf>
    <xf numFmtId="0" fontId="2" fillId="0" borderId="0" xfId="0" applyFont="1" applyAlignment="1" applyProtection="1">
      <alignment horizontal="left"/>
      <protection hidden="1"/>
    </xf>
    <xf numFmtId="0" fontId="2" fillId="0" borderId="0" xfId="0" applyFont="1" applyAlignment="1" applyProtection="1">
      <alignment horizontal="left" wrapText="1"/>
      <protection hidden="1"/>
    </xf>
    <xf numFmtId="0" fontId="46" fillId="0" borderId="0" xfId="0" applyFont="1" applyProtection="1">
      <protection hidden="1"/>
    </xf>
    <xf numFmtId="0" fontId="34" fillId="0" borderId="0" xfId="0" applyFont="1" applyProtection="1">
      <protection hidden="1"/>
    </xf>
    <xf numFmtId="0" fontId="32" fillId="0" borderId="0" xfId="0" applyFont="1" applyProtection="1">
      <protection hidden="1"/>
    </xf>
    <xf numFmtId="0" fontId="3" fillId="0" borderId="15" xfId="0" applyFont="1" applyBorder="1" applyAlignment="1" applyProtection="1">
      <alignment horizontal="right"/>
      <protection hidden="1"/>
    </xf>
    <xf numFmtId="0" fontId="3" fillId="0" borderId="10" xfId="0" applyFont="1" applyBorder="1" applyAlignment="1" applyProtection="1">
      <alignment horizontal="center"/>
      <protection hidden="1"/>
    </xf>
    <xf numFmtId="0" fontId="3" fillId="0" borderId="11" xfId="0" applyFont="1" applyBorder="1" applyAlignment="1" applyProtection="1">
      <alignment horizontal="right" wrapText="1"/>
      <protection hidden="1"/>
    </xf>
    <xf numFmtId="0" fontId="3" fillId="0" borderId="11" xfId="0" applyFont="1" applyBorder="1" applyProtection="1">
      <protection hidden="1"/>
    </xf>
    <xf numFmtId="0" fontId="3" fillId="0" borderId="12" xfId="0" applyFont="1" applyBorder="1" applyProtection="1">
      <protection hidden="1"/>
    </xf>
    <xf numFmtId="9" fontId="3" fillId="0" borderId="0" xfId="0" applyNumberFormat="1" applyFont="1" applyAlignment="1" applyProtection="1">
      <alignment horizontal="right"/>
      <protection hidden="1"/>
    </xf>
    <xf numFmtId="0" fontId="32" fillId="0" borderId="13" xfId="0" applyFont="1" applyFill="1" applyBorder="1" applyAlignment="1" applyProtection="1">
      <alignment horizontal="right" wrapText="1"/>
      <protection hidden="1"/>
    </xf>
    <xf numFmtId="0" fontId="34" fillId="0" borderId="0" xfId="0" applyFont="1" applyFill="1" applyAlignment="1" applyProtection="1">
      <alignment vertical="top" wrapText="1"/>
      <protection hidden="1"/>
    </xf>
    <xf numFmtId="0" fontId="3" fillId="0" borderId="1" xfId="0" applyFont="1" applyFill="1" applyBorder="1" applyProtection="1">
      <protection hidden="1"/>
    </xf>
    <xf numFmtId="0" fontId="3" fillId="0" borderId="1" xfId="0" applyFont="1" applyFill="1" applyBorder="1" applyAlignment="1" applyProtection="1">
      <alignment wrapText="1"/>
      <protection hidden="1"/>
    </xf>
    <xf numFmtId="0" fontId="76" fillId="0" borderId="1" xfId="0" applyFont="1" applyFill="1" applyBorder="1" applyProtection="1">
      <protection hidden="1"/>
    </xf>
    <xf numFmtId="0" fontId="3" fillId="0" borderId="1" xfId="0" applyFont="1" applyFill="1" applyBorder="1" applyAlignment="1" applyProtection="1">
      <alignment horizontal="center"/>
      <protection hidden="1"/>
    </xf>
    <xf numFmtId="2" fontId="3" fillId="0" borderId="1" xfId="0" applyNumberFormat="1" applyFont="1" applyFill="1" applyBorder="1" applyProtection="1">
      <protection hidden="1"/>
    </xf>
    <xf numFmtId="2" fontId="3" fillId="0" borderId="11" xfId="0" applyNumberFormat="1" applyFont="1" applyFill="1" applyBorder="1" applyProtection="1">
      <protection hidden="1"/>
    </xf>
    <xf numFmtId="2" fontId="3" fillId="0" borderId="2" xfId="0" applyNumberFormat="1" applyFont="1" applyFill="1" applyBorder="1" applyProtection="1">
      <protection hidden="1"/>
    </xf>
    <xf numFmtId="2" fontId="3" fillId="0" borderId="0" xfId="0" applyNumberFormat="1" applyFont="1" applyFill="1" applyAlignment="1" applyProtection="1">
      <alignment horizontal="left"/>
      <protection hidden="1"/>
    </xf>
    <xf numFmtId="0" fontId="46" fillId="0" borderId="0" xfId="0" applyFont="1" applyFill="1" applyAlignment="1" applyProtection="1">
      <alignment horizontal="left" wrapText="1"/>
      <protection hidden="1"/>
    </xf>
    <xf numFmtId="0" fontId="4" fillId="0" borderId="0" xfId="0" applyFont="1" applyFill="1" applyProtection="1">
      <protection hidden="1"/>
    </xf>
    <xf numFmtId="0" fontId="46" fillId="0" borderId="0" xfId="0" applyFont="1" applyFill="1" applyBorder="1" applyAlignment="1" applyProtection="1">
      <alignment horizontal="left" wrapText="1"/>
      <protection hidden="1"/>
    </xf>
    <xf numFmtId="0" fontId="3" fillId="0" borderId="0" xfId="0" applyFont="1" applyFill="1" applyBorder="1" applyAlignment="1" applyProtection="1">
      <alignment horizontal="center"/>
      <protection hidden="1"/>
    </xf>
    <xf numFmtId="165" fontId="3" fillId="0" borderId="0" xfId="0" applyNumberFormat="1" applyFont="1" applyFill="1" applyProtection="1">
      <protection hidden="1"/>
    </xf>
    <xf numFmtId="2" fontId="3" fillId="0" borderId="1" xfId="0" applyNumberFormat="1" applyFont="1" applyFill="1" applyBorder="1" applyAlignment="1" applyProtection="1">
      <alignment horizontal="right"/>
      <protection hidden="1"/>
    </xf>
    <xf numFmtId="0" fontId="3" fillId="0" borderId="2" xfId="0" applyFont="1" applyFill="1" applyBorder="1" applyAlignment="1" applyProtection="1">
      <alignment horizontal="center"/>
      <protection hidden="1"/>
    </xf>
    <xf numFmtId="2" fontId="3" fillId="0" borderId="13" xfId="0" applyNumberFormat="1" applyFont="1" applyFill="1" applyBorder="1" applyProtection="1">
      <protection hidden="1"/>
    </xf>
    <xf numFmtId="2" fontId="3" fillId="0" borderId="9" xfId="0" applyNumberFormat="1" applyFont="1" applyFill="1" applyBorder="1" applyAlignment="1" applyProtection="1">
      <alignment horizontal="right"/>
      <protection hidden="1"/>
    </xf>
    <xf numFmtId="2" fontId="23" fillId="0" borderId="0" xfId="0" applyNumberFormat="1" applyFont="1"/>
    <xf numFmtId="2" fontId="2" fillId="0" borderId="0" xfId="0" applyNumberFormat="1" applyFont="1" applyFill="1" applyBorder="1" applyAlignment="1" applyProtection="1">
      <alignment horizontal="right"/>
      <protection hidden="1"/>
    </xf>
    <xf numFmtId="0" fontId="3" fillId="0" borderId="0" xfId="0" applyFont="1" applyFill="1" applyBorder="1" applyAlignment="1" applyProtection="1">
      <alignment horizontal="right" wrapText="1"/>
      <protection hidden="1"/>
    </xf>
    <xf numFmtId="0" fontId="3" fillId="0" borderId="0" xfId="0" applyFont="1" applyFill="1" applyBorder="1" applyAlignment="1" applyProtection="1">
      <alignment horizontal="right"/>
      <protection hidden="1"/>
    </xf>
    <xf numFmtId="2" fontId="2" fillId="0" borderId="0" xfId="0" applyNumberFormat="1" applyFont="1" applyFill="1" applyBorder="1" applyProtection="1">
      <protection hidden="1"/>
    </xf>
    <xf numFmtId="10" fontId="3" fillId="0" borderId="0" xfId="0" applyNumberFormat="1" applyFont="1" applyFill="1" applyAlignment="1" applyProtection="1">
      <alignment horizontal="right"/>
      <protection hidden="1"/>
    </xf>
    <xf numFmtId="0" fontId="2" fillId="0" borderId="0" xfId="0" applyFont="1" applyFill="1" applyAlignment="1" applyProtection="1">
      <alignment horizontal="right"/>
      <protection hidden="1"/>
    </xf>
    <xf numFmtId="0" fontId="15" fillId="0" borderId="0" xfId="0" applyFont="1" applyFill="1" applyAlignment="1" applyProtection="1">
      <alignment horizontal="center"/>
      <protection hidden="1"/>
    </xf>
    <xf numFmtId="0" fontId="13" fillId="0" borderId="0" xfId="0" applyFont="1" applyFill="1" applyProtection="1">
      <protection hidden="1"/>
    </xf>
    <xf numFmtId="0" fontId="0" fillId="0" borderId="0" xfId="0" applyFill="1" applyProtection="1">
      <protection hidden="1"/>
    </xf>
    <xf numFmtId="0" fontId="9" fillId="0" borderId="0" xfId="0" applyFont="1" applyFill="1" applyProtection="1">
      <protection hidden="1"/>
    </xf>
    <xf numFmtId="0" fontId="8" fillId="0" borderId="0" xfId="0" applyFont="1" applyFill="1" applyProtection="1">
      <protection hidden="1"/>
    </xf>
    <xf numFmtId="0" fontId="11" fillId="0" borderId="0" xfId="0" applyFont="1" applyFill="1" applyAlignment="1" applyProtection="1">
      <alignment horizontal="center"/>
      <protection hidden="1"/>
    </xf>
    <xf numFmtId="0" fontId="0" fillId="0" borderId="0" xfId="0" applyFill="1" applyAlignment="1" applyProtection="1">
      <alignment horizontal="center"/>
      <protection hidden="1"/>
    </xf>
    <xf numFmtId="2" fontId="0" fillId="0" borderId="0" xfId="0" applyNumberFormat="1" applyFill="1" applyProtection="1">
      <protection hidden="1"/>
    </xf>
    <xf numFmtId="0" fontId="11" fillId="0" borderId="0" xfId="0" applyFont="1" applyFill="1" applyProtection="1">
      <protection hidden="1"/>
    </xf>
    <xf numFmtId="0" fontId="9" fillId="0" borderId="0" xfId="0" applyFont="1" applyFill="1" applyAlignment="1" applyProtection="1">
      <alignment horizontal="right"/>
      <protection hidden="1"/>
    </xf>
    <xf numFmtId="0" fontId="0" fillId="0" borderId="0" xfId="0" applyFill="1" applyAlignment="1" applyProtection="1">
      <alignment horizontal="right"/>
      <protection hidden="1"/>
    </xf>
    <xf numFmtId="2" fontId="0" fillId="0" borderId="0" xfId="0" applyNumberFormat="1" applyFill="1" applyAlignment="1" applyProtection="1">
      <alignment horizontal="right"/>
      <protection hidden="1"/>
    </xf>
    <xf numFmtId="0" fontId="9" fillId="0" borderId="0" xfId="0" applyFont="1" applyFill="1" applyAlignment="1" applyProtection="1">
      <alignment horizontal="left"/>
      <protection hidden="1"/>
    </xf>
    <xf numFmtId="0" fontId="0" fillId="0" borderId="14" xfId="0" applyFill="1" applyBorder="1" applyAlignment="1" applyProtection="1">
      <alignment horizontal="center"/>
      <protection hidden="1"/>
    </xf>
    <xf numFmtId="0" fontId="0" fillId="0" borderId="5" xfId="0" applyFill="1" applyBorder="1" applyAlignment="1" applyProtection="1">
      <alignment horizontal="center"/>
      <protection hidden="1"/>
    </xf>
    <xf numFmtId="0" fontId="0" fillId="0" borderId="16" xfId="0" applyFill="1" applyBorder="1" applyAlignment="1" applyProtection="1">
      <alignment horizontal="center"/>
      <protection hidden="1"/>
    </xf>
    <xf numFmtId="0" fontId="0" fillId="0" borderId="10" xfId="0" applyFill="1" applyBorder="1" applyProtection="1">
      <protection hidden="1"/>
    </xf>
    <xf numFmtId="0" fontId="0" fillId="0" borderId="8" xfId="0" applyFill="1" applyBorder="1" applyAlignment="1" applyProtection="1">
      <alignment horizontal="left"/>
      <protection hidden="1"/>
    </xf>
    <xf numFmtId="2" fontId="0" fillId="0" borderId="15" xfId="0" applyNumberFormat="1" applyFill="1" applyBorder="1" applyProtection="1">
      <protection hidden="1"/>
    </xf>
    <xf numFmtId="2" fontId="13" fillId="9" borderId="1" xfId="0" applyNumberFormat="1" applyFont="1" applyFill="1" applyBorder="1" applyProtection="1">
      <protection hidden="1"/>
    </xf>
    <xf numFmtId="0" fontId="19" fillId="0" borderId="0" xfId="0" applyFont="1" applyFill="1" applyProtection="1">
      <protection hidden="1"/>
    </xf>
    <xf numFmtId="0" fontId="0" fillId="0" borderId="16" xfId="0" applyFill="1" applyBorder="1" applyAlignment="1" applyProtection="1">
      <alignment horizontal="left" indent="3"/>
      <protection hidden="1"/>
    </xf>
    <xf numFmtId="0" fontId="0" fillId="0" borderId="10" xfId="0" applyFill="1" applyBorder="1" applyAlignment="1" applyProtection="1">
      <alignment horizontal="left"/>
      <protection hidden="1"/>
    </xf>
    <xf numFmtId="2" fontId="0" fillId="0" borderId="16" xfId="0" applyNumberFormat="1" applyFill="1" applyBorder="1" applyProtection="1">
      <protection hidden="1"/>
    </xf>
    <xf numFmtId="2" fontId="23" fillId="0" borderId="16" xfId="0" applyNumberFormat="1" applyFont="1" applyFill="1" applyBorder="1" applyProtection="1">
      <protection hidden="1"/>
    </xf>
    <xf numFmtId="0" fontId="0" fillId="0" borderId="8" xfId="0" applyFill="1" applyBorder="1" applyAlignment="1" applyProtection="1">
      <alignment horizontal="center"/>
      <protection hidden="1"/>
    </xf>
    <xf numFmtId="0" fontId="0" fillId="0" borderId="0" xfId="0" applyFill="1" applyBorder="1" applyProtection="1">
      <protection hidden="1"/>
    </xf>
    <xf numFmtId="9" fontId="0" fillId="0" borderId="0" xfId="0" applyNumberFormat="1" applyFill="1" applyBorder="1" applyProtection="1">
      <protection hidden="1"/>
    </xf>
    <xf numFmtId="0" fontId="0" fillId="0" borderId="16" xfId="0" applyFill="1" applyBorder="1" applyAlignment="1" applyProtection="1">
      <alignment horizontal="right"/>
      <protection hidden="1"/>
    </xf>
    <xf numFmtId="0" fontId="0" fillId="0" borderId="3" xfId="0" applyFill="1" applyBorder="1" applyAlignment="1" applyProtection="1">
      <alignment horizontal="center"/>
      <protection hidden="1"/>
    </xf>
    <xf numFmtId="0" fontId="0" fillId="0" borderId="2" xfId="0" applyFill="1" applyBorder="1" applyAlignment="1" applyProtection="1">
      <alignment horizontal="right"/>
      <protection hidden="1"/>
    </xf>
    <xf numFmtId="0" fontId="0" fillId="0" borderId="2" xfId="0" applyFill="1" applyBorder="1" applyProtection="1">
      <protection hidden="1"/>
    </xf>
    <xf numFmtId="0" fontId="0" fillId="0" borderId="13" xfId="0" applyFill="1" applyBorder="1" applyProtection="1">
      <protection hidden="1"/>
    </xf>
    <xf numFmtId="0" fontId="0" fillId="0" borderId="1" xfId="0" applyFill="1" applyBorder="1" applyAlignment="1" applyProtection="1">
      <alignment horizontal="right"/>
      <protection hidden="1"/>
    </xf>
    <xf numFmtId="2" fontId="9" fillId="0" borderId="1" xfId="0" applyNumberFormat="1" applyFont="1" applyFill="1" applyBorder="1" applyProtection="1">
      <protection hidden="1"/>
    </xf>
    <xf numFmtId="0" fontId="13" fillId="0" borderId="14" xfId="0" applyFont="1" applyFill="1" applyBorder="1" applyAlignment="1" applyProtection="1">
      <alignment horizontal="left"/>
      <protection hidden="1"/>
    </xf>
    <xf numFmtId="0" fontId="0" fillId="0" borderId="6" xfId="0" applyFill="1" applyBorder="1" applyAlignment="1" applyProtection="1">
      <alignment horizontal="center"/>
      <protection hidden="1"/>
    </xf>
    <xf numFmtId="2" fontId="0" fillId="0" borderId="14" xfId="0" applyNumberFormat="1" applyFill="1" applyBorder="1" applyProtection="1">
      <protection hidden="1"/>
    </xf>
    <xf numFmtId="2" fontId="19" fillId="0" borderId="0" xfId="0" applyNumberFormat="1" applyFont="1" applyFill="1" applyProtection="1">
      <protection hidden="1"/>
    </xf>
    <xf numFmtId="0" fontId="13" fillId="0" borderId="16" xfId="0" applyFont="1" applyFill="1" applyBorder="1" applyAlignment="1" applyProtection="1">
      <alignment horizontal="left"/>
      <protection hidden="1"/>
    </xf>
    <xf numFmtId="0" fontId="0" fillId="0" borderId="11" xfId="0" applyFill="1" applyBorder="1" applyAlignment="1" applyProtection="1">
      <alignment horizontal="center"/>
      <protection hidden="1"/>
    </xf>
    <xf numFmtId="0" fontId="0" fillId="0" borderId="10" xfId="0" applyFill="1" applyBorder="1" applyAlignment="1" applyProtection="1">
      <alignment horizontal="center"/>
      <protection hidden="1"/>
    </xf>
    <xf numFmtId="0" fontId="0" fillId="0" borderId="11" xfId="0" applyFill="1" applyBorder="1" applyAlignment="1" applyProtection="1">
      <alignment horizontal="right"/>
      <protection hidden="1"/>
    </xf>
    <xf numFmtId="0" fontId="0" fillId="0" borderId="11" xfId="0" applyFill="1" applyBorder="1" applyProtection="1">
      <protection hidden="1"/>
    </xf>
    <xf numFmtId="0" fontId="0" fillId="0" borderId="12" xfId="0" applyFill="1" applyBorder="1" applyProtection="1">
      <protection hidden="1"/>
    </xf>
    <xf numFmtId="2" fontId="9" fillId="0" borderId="16" xfId="0" applyNumberFormat="1" applyFont="1" applyFill="1" applyBorder="1" applyProtection="1">
      <protection hidden="1"/>
    </xf>
    <xf numFmtId="0" fontId="0" fillId="0" borderId="15" xfId="0" applyFill="1" applyBorder="1" applyAlignment="1" applyProtection="1">
      <alignment horizontal="center"/>
      <protection hidden="1"/>
    </xf>
    <xf numFmtId="0" fontId="0" fillId="0" borderId="0" xfId="0" applyFill="1" applyBorder="1" applyAlignment="1" applyProtection="1">
      <alignment horizontal="left"/>
      <protection hidden="1"/>
    </xf>
    <xf numFmtId="0" fontId="0" fillId="0" borderId="11" xfId="0" applyFill="1" applyBorder="1" applyAlignment="1" applyProtection="1">
      <alignment horizontal="left"/>
      <protection hidden="1"/>
    </xf>
    <xf numFmtId="0" fontId="9" fillId="0" borderId="0" xfId="0" applyFont="1" applyFill="1" applyBorder="1" applyProtection="1">
      <protection hidden="1"/>
    </xf>
    <xf numFmtId="2" fontId="9" fillId="0" borderId="0" xfId="0" applyNumberFormat="1" applyFont="1" applyFill="1" applyBorder="1" applyAlignment="1" applyProtection="1">
      <alignment horizontal="left"/>
      <protection hidden="1"/>
    </xf>
    <xf numFmtId="2" fontId="9" fillId="0" borderId="2" xfId="0" applyNumberFormat="1" applyFont="1" applyFill="1" applyBorder="1" applyAlignment="1" applyProtection="1">
      <alignment horizontal="left"/>
      <protection hidden="1"/>
    </xf>
    <xf numFmtId="0" fontId="121" fillId="0" borderId="0" xfId="0" applyFont="1" applyFill="1" applyBorder="1" applyAlignment="1" applyProtection="1">
      <alignment vertical="top"/>
      <protection hidden="1"/>
    </xf>
    <xf numFmtId="2" fontId="0" fillId="0" borderId="0" xfId="0" applyNumberFormat="1" applyFill="1" applyBorder="1" applyProtection="1">
      <protection hidden="1"/>
    </xf>
    <xf numFmtId="0" fontId="13" fillId="0" borderId="0" xfId="0" applyFont="1" applyFill="1" applyAlignment="1" applyProtection="1">
      <alignment horizontal="right"/>
      <protection hidden="1"/>
    </xf>
    <xf numFmtId="2" fontId="13" fillId="0" borderId="0" xfId="0" applyNumberFormat="1" applyFont="1" applyFill="1" applyBorder="1" applyProtection="1">
      <protection hidden="1"/>
    </xf>
    <xf numFmtId="2" fontId="9" fillId="0" borderId="2" xfId="0" applyNumberFormat="1" applyFont="1" applyFill="1" applyBorder="1" applyProtection="1">
      <protection hidden="1"/>
    </xf>
    <xf numFmtId="2" fontId="9" fillId="0" borderId="0" xfId="0" applyNumberFormat="1" applyFont="1" applyFill="1" applyProtection="1">
      <protection hidden="1"/>
    </xf>
    <xf numFmtId="0" fontId="123" fillId="0" borderId="0" xfId="0" applyFont="1" applyFill="1" applyProtection="1">
      <protection hidden="1"/>
    </xf>
    <xf numFmtId="0" fontId="14" fillId="0" borderId="0" xfId="0" applyFont="1" applyFill="1" applyProtection="1">
      <protection hidden="1"/>
    </xf>
    <xf numFmtId="0" fontId="2" fillId="0" borderId="0" xfId="0" applyFont="1" applyFill="1" applyAlignment="1" applyProtection="1">
      <alignment horizontal="right" wrapText="1"/>
      <protection hidden="1"/>
    </xf>
    <xf numFmtId="2" fontId="2" fillId="0" borderId="0" xfId="0" applyNumberFormat="1" applyFont="1" applyFill="1" applyAlignment="1" applyProtection="1">
      <alignment horizontal="right"/>
      <protection hidden="1"/>
    </xf>
    <xf numFmtId="0" fontId="3" fillId="0" borderId="16" xfId="0" applyFont="1" applyFill="1" applyBorder="1" applyAlignment="1" applyProtection="1">
      <alignment horizontal="left" indent="3"/>
      <protection hidden="1"/>
    </xf>
    <xf numFmtId="0" fontId="3" fillId="0" borderId="10" xfId="0" applyFont="1" applyFill="1" applyBorder="1" applyAlignment="1" applyProtection="1">
      <alignment horizontal="left" indent="3"/>
      <protection hidden="1"/>
    </xf>
    <xf numFmtId="0" fontId="3" fillId="0" borderId="11" xfId="0" applyFont="1" applyFill="1" applyBorder="1" applyAlignment="1" applyProtection="1">
      <alignment horizontal="center"/>
      <protection hidden="1"/>
    </xf>
    <xf numFmtId="0" fontId="3" fillId="0" borderId="0" xfId="0" applyFont="1" applyFill="1" applyBorder="1" applyAlignment="1" applyProtection="1">
      <alignment horizontal="center" wrapText="1"/>
      <protection hidden="1"/>
    </xf>
    <xf numFmtId="2" fontId="53" fillId="0" borderId="15" xfId="0" applyNumberFormat="1" applyFont="1" applyFill="1" applyBorder="1" applyAlignment="1" applyProtection="1">
      <alignment horizontal="right"/>
      <protection hidden="1"/>
    </xf>
    <xf numFmtId="2" fontId="52" fillId="0" borderId="30" xfId="0" applyNumberFormat="1" applyFont="1" applyBorder="1" applyAlignment="1">
      <alignment horizontal="right" vertical="top" wrapText="1"/>
    </xf>
    <xf numFmtId="0" fontId="3" fillId="0" borderId="3" xfId="0" applyFont="1" applyFill="1" applyBorder="1" applyAlignment="1" applyProtection="1">
      <alignment horizontal="left" indent="3"/>
      <protection hidden="1"/>
    </xf>
    <xf numFmtId="0" fontId="3" fillId="0" borderId="2" xfId="0" applyFont="1" applyFill="1" applyBorder="1" applyAlignment="1" applyProtection="1">
      <alignment horizontal="left" wrapText="1"/>
      <protection hidden="1"/>
    </xf>
    <xf numFmtId="2" fontId="53" fillId="0" borderId="1" xfId="0" applyNumberFormat="1" applyFont="1" applyFill="1" applyBorder="1" applyProtection="1">
      <protection hidden="1"/>
    </xf>
    <xf numFmtId="0" fontId="3" fillId="0" borderId="11" xfId="0" applyFont="1" applyFill="1" applyBorder="1" applyAlignment="1" applyProtection="1">
      <alignment horizontal="left" wrapText="1"/>
      <protection hidden="1"/>
    </xf>
    <xf numFmtId="2" fontId="3" fillId="0" borderId="12" xfId="0" applyNumberFormat="1" applyFont="1" applyFill="1" applyBorder="1" applyProtection="1">
      <protection hidden="1"/>
    </xf>
    <xf numFmtId="2" fontId="53" fillId="0" borderId="16" xfId="0" applyNumberFormat="1" applyFont="1" applyFill="1" applyBorder="1" applyProtection="1">
      <protection hidden="1"/>
    </xf>
    <xf numFmtId="1" fontId="23" fillId="0" borderId="0" xfId="0" applyNumberFormat="1" applyFont="1"/>
    <xf numFmtId="0" fontId="32" fillId="0" borderId="0" xfId="0" applyFont="1" applyFill="1" applyAlignment="1" applyProtection="1">
      <alignment horizontal="right" wrapText="1"/>
      <protection hidden="1"/>
    </xf>
    <xf numFmtId="2" fontId="3" fillId="0" borderId="14" xfId="0" applyNumberFormat="1" applyFont="1" applyFill="1" applyBorder="1" applyProtection="1">
      <protection hidden="1"/>
    </xf>
    <xf numFmtId="0" fontId="3" fillId="0" borderId="14" xfId="0" applyFont="1" applyFill="1" applyBorder="1" applyAlignment="1" applyProtection="1">
      <alignment horizontal="right"/>
      <protection hidden="1"/>
    </xf>
    <xf numFmtId="2" fontId="2" fillId="0" borderId="0" xfId="0" applyNumberFormat="1" applyFont="1" applyFill="1" applyAlignment="1" applyProtection="1">
      <alignment horizontal="left" wrapText="1"/>
      <protection hidden="1"/>
    </xf>
    <xf numFmtId="2" fontId="76" fillId="0" borderId="15" xfId="0" applyNumberFormat="1" applyFont="1" applyFill="1" applyBorder="1" applyAlignment="1" applyProtection="1">
      <alignment horizontal="right"/>
      <protection hidden="1"/>
    </xf>
    <xf numFmtId="2" fontId="3" fillId="0" borderId="15" xfId="0" applyNumberFormat="1" applyFont="1" applyFill="1" applyBorder="1" applyAlignment="1" applyProtection="1">
      <alignment horizontal="right"/>
      <protection hidden="1"/>
    </xf>
    <xf numFmtId="2" fontId="4" fillId="0" borderId="0" xfId="0" applyNumberFormat="1" applyFont="1" applyFill="1" applyProtection="1">
      <protection hidden="1"/>
    </xf>
    <xf numFmtId="0" fontId="3" fillId="0" borderId="2" xfId="0" applyFont="1" applyFill="1" applyBorder="1" applyAlignment="1" applyProtection="1">
      <alignment wrapText="1"/>
      <protection hidden="1"/>
    </xf>
    <xf numFmtId="2" fontId="2" fillId="0" borderId="9" xfId="0" applyNumberFormat="1" applyFont="1" applyFill="1" applyBorder="1" applyAlignment="1" applyProtection="1">
      <alignment horizontal="right"/>
      <protection hidden="1"/>
    </xf>
    <xf numFmtId="0" fontId="2" fillId="0" borderId="0" xfId="0" applyFont="1" applyFill="1" applyBorder="1" applyProtection="1">
      <protection hidden="1"/>
    </xf>
    <xf numFmtId="0" fontId="3" fillId="0" borderId="16" xfId="0" applyFont="1" applyFill="1" applyBorder="1" applyAlignment="1" applyProtection="1">
      <alignment horizontal="left" wrapText="1"/>
      <protection hidden="1"/>
    </xf>
    <xf numFmtId="0" fontId="3" fillId="0" borderId="0" xfId="0" applyFont="1" applyFill="1" applyAlignment="1">
      <alignment horizontal="left"/>
    </xf>
    <xf numFmtId="2" fontId="4" fillId="0" borderId="0" xfId="0" applyNumberFormat="1" applyFont="1" applyFill="1"/>
    <xf numFmtId="2" fontId="4" fillId="0" borderId="1" xfId="0" applyNumberFormat="1" applyFont="1" applyFill="1" applyBorder="1"/>
    <xf numFmtId="0" fontId="34" fillId="0" borderId="0" xfId="0" applyFont="1" applyFill="1" applyAlignment="1">
      <alignment horizontal="left"/>
    </xf>
    <xf numFmtId="0" fontId="4" fillId="9" borderId="1" xfId="0" applyFont="1" applyFill="1" applyBorder="1"/>
    <xf numFmtId="2" fontId="2" fillId="0" borderId="0" xfId="0" applyNumberFormat="1" applyFont="1" applyFill="1"/>
    <xf numFmtId="0" fontId="3" fillId="8" borderId="0" xfId="0" applyFont="1" applyFill="1" applyBorder="1"/>
    <xf numFmtId="2" fontId="3" fillId="0" borderId="0" xfId="0" applyNumberFormat="1" applyFont="1" applyFill="1" applyBorder="1" applyAlignment="1">
      <alignment horizontal="right"/>
    </xf>
    <xf numFmtId="2" fontId="2" fillId="0" borderId="2" xfId="0" applyNumberFormat="1" applyFont="1" applyFill="1" applyBorder="1" applyAlignment="1">
      <alignment horizontal="right"/>
    </xf>
    <xf numFmtId="0" fontId="32" fillId="0" borderId="0" xfId="0" applyFont="1" applyFill="1" applyAlignment="1" applyProtection="1">
      <alignment wrapText="1"/>
      <protection hidden="1"/>
    </xf>
    <xf numFmtId="1" fontId="3" fillId="0" borderId="0" xfId="0" applyNumberFormat="1" applyFont="1" applyFill="1" applyAlignment="1" applyProtection="1">
      <alignment horizontal="left"/>
      <protection hidden="1"/>
    </xf>
    <xf numFmtId="0" fontId="2" fillId="0" borderId="0" xfId="0" applyFont="1" applyFill="1" applyAlignment="1" applyProtection="1">
      <alignment horizontal="center" wrapText="1"/>
      <protection hidden="1"/>
    </xf>
    <xf numFmtId="0" fontId="3" fillId="0" borderId="1" xfId="0" applyFont="1" applyFill="1" applyBorder="1" applyAlignment="1" applyProtection="1">
      <alignment horizontal="center" vertical="center" wrapText="1"/>
      <protection hidden="1"/>
    </xf>
    <xf numFmtId="0" fontId="3" fillId="0" borderId="5"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left" vertical="center" wrapText="1"/>
      <protection hidden="1"/>
    </xf>
    <xf numFmtId="2" fontId="3" fillId="0" borderId="1" xfId="0" applyNumberFormat="1" applyFont="1" applyFill="1" applyBorder="1" applyAlignment="1" applyProtection="1">
      <alignment horizontal="right" vertical="center" wrapText="1"/>
      <protection hidden="1"/>
    </xf>
    <xf numFmtId="2" fontId="3" fillId="0" borderId="9" xfId="0" applyNumberFormat="1" applyFont="1" applyFill="1" applyBorder="1" applyAlignment="1" applyProtection="1">
      <alignment horizontal="right" vertical="top" wrapText="1"/>
      <protection hidden="1"/>
    </xf>
    <xf numFmtId="0" fontId="3" fillId="0" borderId="3" xfId="0" applyFont="1" applyFill="1" applyBorder="1" applyProtection="1">
      <protection hidden="1"/>
    </xf>
    <xf numFmtId="2" fontId="3" fillId="0" borderId="3" xfId="0" applyNumberFormat="1" applyFont="1" applyFill="1" applyBorder="1" applyAlignment="1" applyProtection="1">
      <alignment horizontal="right" vertical="center" wrapText="1"/>
      <protection hidden="1"/>
    </xf>
    <xf numFmtId="0" fontId="3" fillId="0" borderId="14" xfId="0" applyFont="1" applyFill="1" applyBorder="1" applyAlignment="1" applyProtection="1">
      <alignment horizontal="center" vertical="center" wrapText="1"/>
      <protection hidden="1"/>
    </xf>
    <xf numFmtId="2" fontId="3" fillId="0" borderId="14" xfId="0" applyNumberFormat="1" applyFont="1" applyFill="1" applyBorder="1" applyAlignment="1" applyProtection="1">
      <alignment horizontal="right" vertical="center" wrapText="1"/>
      <protection hidden="1"/>
    </xf>
    <xf numFmtId="2" fontId="53" fillId="0" borderId="14" xfId="0" applyNumberFormat="1" applyFont="1" applyFill="1" applyBorder="1" applyAlignment="1" applyProtection="1">
      <alignment horizontal="right" vertical="center" wrapText="1"/>
      <protection hidden="1"/>
    </xf>
    <xf numFmtId="0" fontId="3" fillId="0" borderId="15" xfId="0" applyFont="1" applyFill="1" applyBorder="1" applyAlignment="1" applyProtection="1">
      <alignment horizontal="right" vertical="center" wrapText="1"/>
      <protection hidden="1"/>
    </xf>
    <xf numFmtId="0" fontId="3" fillId="0" borderId="10" xfId="0" applyFont="1" applyFill="1" applyBorder="1" applyAlignment="1" applyProtection="1">
      <alignment horizontal="left" vertical="center" wrapText="1"/>
      <protection hidden="1"/>
    </xf>
    <xf numFmtId="0" fontId="3" fillId="0" borderId="15" xfId="0" applyFont="1" applyFill="1" applyBorder="1" applyAlignment="1" applyProtection="1">
      <alignment horizontal="center" vertical="center" wrapText="1"/>
      <protection hidden="1"/>
    </xf>
    <xf numFmtId="2" fontId="3" fillId="0" borderId="15" xfId="0" applyNumberFormat="1" applyFont="1" applyFill="1" applyBorder="1" applyAlignment="1" applyProtection="1">
      <alignment horizontal="right" vertical="center" wrapText="1"/>
      <protection hidden="1"/>
    </xf>
    <xf numFmtId="2" fontId="53" fillId="0" borderId="15" xfId="0" applyNumberFormat="1" applyFont="1" applyFill="1" applyBorder="1" applyAlignment="1" applyProtection="1">
      <alignment horizontal="right" vertical="center" wrapText="1"/>
      <protection hidden="1"/>
    </xf>
    <xf numFmtId="0" fontId="3" fillId="0" borderId="13" xfId="0" applyFont="1" applyFill="1" applyBorder="1" applyAlignment="1" applyProtection="1">
      <alignment wrapText="1"/>
      <protection hidden="1"/>
    </xf>
    <xf numFmtId="0" fontId="3" fillId="0" borderId="5" xfId="0" applyFont="1" applyFill="1" applyBorder="1" applyAlignment="1" applyProtection="1">
      <alignment horizontal="left" vertical="center" wrapText="1"/>
      <protection hidden="1"/>
    </xf>
    <xf numFmtId="0" fontId="3" fillId="0" borderId="9" xfId="0" applyFont="1" applyFill="1" applyBorder="1" applyAlignment="1" applyProtection="1">
      <alignment horizontal="center" vertical="center" wrapText="1"/>
      <protection hidden="1"/>
    </xf>
    <xf numFmtId="2" fontId="53" fillId="0" borderId="30" xfId="0" applyNumberFormat="1" applyFont="1" applyBorder="1" applyAlignment="1">
      <alignment horizontal="right" vertical="top" wrapText="1"/>
    </xf>
    <xf numFmtId="0" fontId="3" fillId="0" borderId="8" xfId="0" applyFont="1" applyFill="1" applyBorder="1" applyAlignment="1" applyProtection="1">
      <alignment horizontal="left" vertical="center" wrapText="1"/>
      <protection hidden="1"/>
    </xf>
    <xf numFmtId="0" fontId="124" fillId="0" borderId="0" xfId="0" applyFont="1" applyFill="1" applyProtection="1">
      <protection hidden="1"/>
    </xf>
    <xf numFmtId="2" fontId="3" fillId="0" borderId="0" xfId="0" applyNumberFormat="1" applyFont="1" applyFill="1" applyAlignment="1" applyProtection="1">
      <alignment wrapText="1"/>
      <protection hidden="1"/>
    </xf>
    <xf numFmtId="0" fontId="8" fillId="0" borderId="0" xfId="0" applyFont="1" applyAlignment="1" applyProtection="1">
      <alignment horizontal="left"/>
      <protection hidden="1"/>
    </xf>
    <xf numFmtId="0" fontId="13" fillId="0" borderId="0" xfId="0" applyFont="1" applyProtection="1">
      <protection hidden="1"/>
    </xf>
    <xf numFmtId="0" fontId="0" fillId="0" borderId="0" xfId="0" applyProtection="1">
      <protection hidden="1"/>
    </xf>
    <xf numFmtId="0" fontId="9" fillId="0" borderId="0" xfId="0" applyFont="1" applyProtection="1">
      <protection hidden="1"/>
    </xf>
    <xf numFmtId="0" fontId="0" fillId="0" borderId="0" xfId="0" applyAlignment="1" applyProtection="1">
      <alignment horizontal="center"/>
      <protection hidden="1"/>
    </xf>
    <xf numFmtId="2" fontId="0" fillId="0" borderId="0" xfId="0" applyNumberFormat="1" applyProtection="1">
      <protection hidden="1"/>
    </xf>
    <xf numFmtId="0" fontId="9" fillId="0" borderId="0" xfId="0" applyFont="1" applyAlignment="1" applyProtection="1">
      <alignment horizontal="right"/>
      <protection hidden="1"/>
    </xf>
    <xf numFmtId="0" fontId="0" fillId="0" borderId="0" xfId="0" applyAlignment="1" applyProtection="1">
      <alignment horizontal="right"/>
      <protection hidden="1"/>
    </xf>
    <xf numFmtId="2" fontId="0" fillId="0" borderId="0" xfId="0" applyNumberFormat="1" applyAlignment="1" applyProtection="1">
      <alignment horizontal="right"/>
      <protection hidden="1"/>
    </xf>
    <xf numFmtId="0" fontId="9" fillId="0" borderId="0" xfId="0" applyFont="1" applyAlignment="1" applyProtection="1">
      <alignment horizontal="left"/>
      <protection hidden="1"/>
    </xf>
    <xf numFmtId="0" fontId="0" fillId="0" borderId="14" xfId="0" applyBorder="1" applyAlignment="1" applyProtection="1">
      <alignment horizontal="center"/>
      <protection hidden="1"/>
    </xf>
    <xf numFmtId="0" fontId="0" fillId="0" borderId="5" xfId="0" applyBorder="1" applyAlignment="1" applyProtection="1">
      <alignment horizontal="center"/>
      <protection hidden="1"/>
    </xf>
    <xf numFmtId="0" fontId="0" fillId="0" borderId="16" xfId="0" applyBorder="1" applyAlignment="1" applyProtection="1">
      <alignment horizontal="center"/>
      <protection hidden="1"/>
    </xf>
    <xf numFmtId="0" fontId="0" fillId="0" borderId="10" xfId="0" applyBorder="1" applyProtection="1">
      <protection hidden="1"/>
    </xf>
    <xf numFmtId="0" fontId="0" fillId="0" borderId="8" xfId="0" applyBorder="1" applyAlignment="1" applyProtection="1">
      <alignment horizontal="left"/>
      <protection hidden="1"/>
    </xf>
    <xf numFmtId="2" fontId="0" fillId="0" borderId="15" xfId="0" applyNumberFormat="1" applyBorder="1" applyProtection="1">
      <protection hidden="1"/>
    </xf>
    <xf numFmtId="2" fontId="23" fillId="9" borderId="1" xfId="0" applyNumberFormat="1" applyFont="1" applyFill="1" applyBorder="1" applyProtection="1">
      <protection hidden="1"/>
    </xf>
    <xf numFmtId="0" fontId="0" fillId="0" borderId="16" xfId="0" applyBorder="1" applyAlignment="1" applyProtection="1">
      <alignment horizontal="left" indent="3"/>
      <protection hidden="1"/>
    </xf>
    <xf numFmtId="0" fontId="0" fillId="0" borderId="10" xfId="0" applyBorder="1" applyAlignment="1" applyProtection="1">
      <alignment horizontal="left"/>
      <protection hidden="1"/>
    </xf>
    <xf numFmtId="2" fontId="0" fillId="0" borderId="16" xfId="0" applyNumberFormat="1" applyBorder="1" applyProtection="1">
      <protection hidden="1"/>
    </xf>
    <xf numFmtId="2" fontId="23" fillId="0" borderId="16" xfId="0" applyNumberFormat="1" applyFont="1" applyBorder="1" applyProtection="1">
      <protection hidden="1"/>
    </xf>
    <xf numFmtId="0" fontId="0" fillId="0" borderId="8" xfId="0" applyBorder="1" applyAlignment="1" applyProtection="1">
      <alignment horizontal="center"/>
      <protection hidden="1"/>
    </xf>
    <xf numFmtId="0" fontId="0" fillId="0" borderId="0" xfId="0" applyBorder="1" applyProtection="1">
      <protection hidden="1"/>
    </xf>
    <xf numFmtId="9" fontId="0" fillId="0" borderId="0" xfId="0" applyNumberFormat="1" applyBorder="1" applyProtection="1">
      <protection hidden="1"/>
    </xf>
    <xf numFmtId="0" fontId="0" fillId="0" borderId="16" xfId="0" applyBorder="1" applyAlignment="1" applyProtection="1">
      <alignment horizontal="right"/>
      <protection hidden="1"/>
    </xf>
    <xf numFmtId="0" fontId="0" fillId="0" borderId="3" xfId="0" applyBorder="1" applyAlignment="1" applyProtection="1">
      <alignment horizontal="center"/>
      <protection hidden="1"/>
    </xf>
    <xf numFmtId="0" fontId="0" fillId="0" borderId="2" xfId="0" applyBorder="1" applyAlignment="1" applyProtection="1">
      <alignment horizontal="right"/>
      <protection hidden="1"/>
    </xf>
    <xf numFmtId="0" fontId="0" fillId="0" borderId="2" xfId="0" applyBorder="1" applyProtection="1">
      <protection hidden="1"/>
    </xf>
    <xf numFmtId="0" fontId="0" fillId="0" borderId="13" xfId="0" applyBorder="1" applyProtection="1">
      <protection hidden="1"/>
    </xf>
    <xf numFmtId="0" fontId="0" fillId="0" borderId="1" xfId="0" applyBorder="1" applyAlignment="1" applyProtection="1">
      <alignment horizontal="right"/>
      <protection hidden="1"/>
    </xf>
    <xf numFmtId="2" fontId="9" fillId="0" borderId="1" xfId="0" applyNumberFormat="1" applyFont="1" applyBorder="1" applyProtection="1">
      <protection hidden="1"/>
    </xf>
    <xf numFmtId="0" fontId="0" fillId="0" borderId="6" xfId="0" applyBorder="1" applyAlignment="1" applyProtection="1">
      <alignment horizontal="center"/>
      <protection hidden="1"/>
    </xf>
    <xf numFmtId="2" fontId="0" fillId="0" borderId="14" xfId="0" applyNumberFormat="1" applyBorder="1" applyProtection="1">
      <protection hidden="1"/>
    </xf>
    <xf numFmtId="2" fontId="23" fillId="0" borderId="15" xfId="0" applyNumberFormat="1" applyFont="1" applyBorder="1" applyProtection="1">
      <protection hidden="1"/>
    </xf>
    <xf numFmtId="0" fontId="0" fillId="0" borderId="11" xfId="0" applyBorder="1" applyAlignment="1" applyProtection="1">
      <alignment horizontal="center"/>
      <protection hidden="1"/>
    </xf>
    <xf numFmtId="0" fontId="0" fillId="0" borderId="10" xfId="0" applyBorder="1" applyAlignment="1" applyProtection="1">
      <alignment horizontal="center"/>
      <protection hidden="1"/>
    </xf>
    <xf numFmtId="0" fontId="0" fillId="0" borderId="11" xfId="0" applyBorder="1" applyAlignment="1" applyProtection="1">
      <alignment horizontal="right"/>
      <protection hidden="1"/>
    </xf>
    <xf numFmtId="0" fontId="0" fillId="0" borderId="11" xfId="0" applyBorder="1" applyProtection="1">
      <protection hidden="1"/>
    </xf>
    <xf numFmtId="0" fontId="0" fillId="0" borderId="12" xfId="0" applyBorder="1" applyProtection="1">
      <protection hidden="1"/>
    </xf>
    <xf numFmtId="0" fontId="0" fillId="0" borderId="15" xfId="0" applyBorder="1" applyAlignment="1" applyProtection="1">
      <alignment horizontal="center"/>
      <protection hidden="1"/>
    </xf>
    <xf numFmtId="0" fontId="0" fillId="0" borderId="0" xfId="0" applyBorder="1" applyAlignment="1" applyProtection="1">
      <alignment horizontal="left"/>
      <protection hidden="1"/>
    </xf>
    <xf numFmtId="0" fontId="0" fillId="0" borderId="11" xfId="0" applyBorder="1" applyAlignment="1" applyProtection="1">
      <alignment horizontal="left"/>
      <protection hidden="1"/>
    </xf>
    <xf numFmtId="2" fontId="9" fillId="0" borderId="0" xfId="0" applyNumberFormat="1" applyFont="1" applyBorder="1" applyAlignment="1" applyProtection="1">
      <alignment horizontal="left"/>
      <protection hidden="1"/>
    </xf>
    <xf numFmtId="2" fontId="9" fillId="0" borderId="2" xfId="0" applyNumberFormat="1" applyFont="1" applyBorder="1" applyAlignment="1" applyProtection="1">
      <alignment horizontal="left"/>
      <protection hidden="1"/>
    </xf>
    <xf numFmtId="2" fontId="0" fillId="0" borderId="0" xfId="0" applyNumberFormat="1" applyBorder="1" applyProtection="1">
      <protection hidden="1"/>
    </xf>
    <xf numFmtId="2" fontId="9" fillId="0" borderId="2" xfId="0" applyNumberFormat="1" applyFont="1" applyBorder="1" applyProtection="1">
      <protection hidden="1"/>
    </xf>
    <xf numFmtId="2" fontId="9" fillId="0" borderId="0" xfId="0" applyNumberFormat="1" applyFont="1" applyProtection="1">
      <protection hidden="1"/>
    </xf>
    <xf numFmtId="0" fontId="123" fillId="0" borderId="0" xfId="0" applyFont="1" applyProtection="1">
      <protection hidden="1"/>
    </xf>
    <xf numFmtId="2" fontId="23" fillId="0" borderId="0" xfId="0" applyNumberFormat="1" applyFont="1" applyBorder="1" applyAlignment="1">
      <alignment horizontal="center"/>
    </xf>
    <xf numFmtId="0" fontId="8" fillId="0" borderId="0" xfId="0" applyFont="1" applyBorder="1" applyAlignment="1">
      <alignment horizontal="center"/>
    </xf>
    <xf numFmtId="0" fontId="23" fillId="0" borderId="0" xfId="0" applyFont="1" applyBorder="1" applyAlignment="1">
      <alignment horizontal="center"/>
    </xf>
    <xf numFmtId="2" fontId="21" fillId="0" borderId="0" xfId="0" applyNumberFormat="1" applyFont="1" applyBorder="1" applyAlignment="1">
      <alignment horizontal="center"/>
    </xf>
    <xf numFmtId="2" fontId="23" fillId="0" borderId="0" xfId="0" applyNumberFormat="1" applyFont="1" applyBorder="1"/>
    <xf numFmtId="0" fontId="23" fillId="8" borderId="0" xfId="0" applyFont="1" applyFill="1" applyBorder="1" applyAlignment="1">
      <alignment horizontal="center"/>
    </xf>
    <xf numFmtId="2" fontId="21" fillId="0" borderId="0" xfId="0" applyNumberFormat="1" applyFont="1" applyBorder="1"/>
    <xf numFmtId="0" fontId="3" fillId="8" borderId="1" xfId="0" applyFont="1" applyFill="1" applyBorder="1" applyAlignment="1">
      <alignment vertical="top" wrapText="1"/>
    </xf>
    <xf numFmtId="0" fontId="34" fillId="0" borderId="0" xfId="0" applyFont="1" applyAlignment="1">
      <alignment vertical="top" wrapText="1"/>
    </xf>
    <xf numFmtId="2" fontId="3" fillId="0" borderId="0" xfId="0" applyNumberFormat="1" applyFont="1" applyAlignment="1">
      <alignment vertical="top" wrapText="1"/>
    </xf>
    <xf numFmtId="0" fontId="9" fillId="0" borderId="0" xfId="0" applyFont="1" applyBorder="1" applyAlignment="1">
      <alignment horizontal="left" vertical="top" wrapText="1"/>
    </xf>
    <xf numFmtId="0" fontId="0" fillId="0" borderId="0" xfId="0" applyBorder="1" applyAlignment="1">
      <alignment vertical="top" wrapText="1"/>
    </xf>
    <xf numFmtId="2" fontId="23" fillId="0" borderId="0" xfId="0" applyNumberFormat="1" applyFont="1" applyBorder="1" applyAlignment="1">
      <alignment vertical="top" wrapText="1"/>
    </xf>
    <xf numFmtId="2" fontId="0" fillId="0" borderId="0" xfId="0" applyNumberFormat="1" applyBorder="1" applyAlignment="1">
      <alignment vertical="top" wrapText="1"/>
    </xf>
    <xf numFmtId="0" fontId="59" fillId="0" borderId="0" xfId="0" applyFont="1" applyBorder="1" applyAlignment="1" applyProtection="1"/>
    <xf numFmtId="0" fontId="34" fillId="2" borderId="3" xfId="0" applyFont="1" applyFill="1" applyBorder="1"/>
    <xf numFmtId="164" fontId="55" fillId="2" borderId="1" xfId="0" applyNumberFormat="1" applyFont="1" applyFill="1" applyBorder="1" applyAlignment="1">
      <alignment horizontal="center"/>
    </xf>
    <xf numFmtId="0" fontId="34" fillId="10" borderId="3" xfId="0" applyFont="1" applyFill="1" applyBorder="1"/>
    <xf numFmtId="0" fontId="3" fillId="10" borderId="2" xfId="0" applyFont="1" applyFill="1" applyBorder="1"/>
    <xf numFmtId="164" fontId="55" fillId="10" borderId="1" xfId="0" applyNumberFormat="1" applyFont="1" applyFill="1" applyBorder="1" applyAlignment="1">
      <alignment horizontal="center"/>
    </xf>
    <xf numFmtId="2" fontId="4" fillId="12" borderId="1" xfId="0" applyNumberFormat="1" applyFont="1" applyFill="1" applyBorder="1" applyAlignment="1">
      <alignment horizontal="center"/>
    </xf>
    <xf numFmtId="1" fontId="9" fillId="0" borderId="2" xfId="0" applyNumberFormat="1" applyFont="1" applyBorder="1"/>
    <xf numFmtId="0" fontId="125" fillId="0" borderId="0" xfId="0" applyFont="1"/>
    <xf numFmtId="0" fontId="39" fillId="0" borderId="11" xfId="0" applyFont="1" applyBorder="1"/>
    <xf numFmtId="9" fontId="79" fillId="8" borderId="1" xfId="1" applyFont="1" applyFill="1" applyBorder="1" applyAlignment="1">
      <alignment horizontal="center"/>
    </xf>
    <xf numFmtId="0" fontId="62" fillId="0" borderId="1" xfId="0" quotePrefix="1" applyFont="1" applyBorder="1" applyAlignment="1">
      <alignment horizontal="center" vertical="center" wrapText="1"/>
    </xf>
    <xf numFmtId="0" fontId="62" fillId="0" borderId="1" xfId="0" applyFont="1" applyBorder="1" applyAlignment="1">
      <alignment horizontal="center" vertical="center"/>
    </xf>
    <xf numFmtId="0" fontId="39" fillId="0" borderId="1" xfId="0" applyFont="1" applyBorder="1" applyAlignment="1">
      <alignment horizontal="center"/>
    </xf>
    <xf numFmtId="0" fontId="39" fillId="0" borderId="1" xfId="0" applyFont="1" applyBorder="1"/>
    <xf numFmtId="0" fontId="126" fillId="0" borderId="1" xfId="0" applyFont="1" applyBorder="1"/>
    <xf numFmtId="1" fontId="127" fillId="24" borderId="1" xfId="0" applyNumberFormat="1" applyFont="1" applyFill="1" applyBorder="1" applyAlignment="1">
      <alignment horizontal="center"/>
    </xf>
    <xf numFmtId="2" fontId="127" fillId="3" borderId="1" xfId="0" applyNumberFormat="1" applyFont="1" applyFill="1" applyBorder="1" applyAlignment="1">
      <alignment horizontal="right"/>
    </xf>
    <xf numFmtId="2" fontId="39" fillId="0" borderId="1" xfId="0" applyNumberFormat="1" applyFont="1" applyBorder="1" applyAlignment="1">
      <alignment horizontal="right"/>
    </xf>
    <xf numFmtId="2" fontId="79" fillId="0" borderId="1" xfId="0" applyNumberFormat="1" applyFont="1" applyBorder="1" applyAlignment="1">
      <alignment horizontal="right"/>
    </xf>
    <xf numFmtId="0" fontId="39" fillId="0" borderId="1" xfId="0" applyFont="1" applyBorder="1" applyAlignment="1">
      <alignment horizontal="right"/>
    </xf>
    <xf numFmtId="2" fontId="79" fillId="0" borderId="1" xfId="0" applyNumberFormat="1" applyFont="1" applyBorder="1"/>
    <xf numFmtId="0" fontId="39" fillId="3" borderId="1" xfId="0" applyFont="1" applyFill="1" applyBorder="1"/>
    <xf numFmtId="0" fontId="126" fillId="3" borderId="1" xfId="0" applyFont="1" applyFill="1" applyBorder="1"/>
    <xf numFmtId="2" fontId="39" fillId="3" borderId="1" xfId="0" applyNumberFormat="1" applyFont="1" applyFill="1" applyBorder="1" applyAlignment="1">
      <alignment horizontal="right"/>
    </xf>
    <xf numFmtId="0" fontId="39" fillId="11" borderId="0" xfId="0" applyFont="1" applyFill="1"/>
    <xf numFmtId="0" fontId="39" fillId="0" borderId="1" xfId="0" quotePrefix="1" applyFont="1" applyBorder="1" applyAlignment="1">
      <alignment horizontal="left"/>
    </xf>
    <xf numFmtId="2" fontId="39" fillId="0" borderId="1" xfId="0" quotePrefix="1" applyNumberFormat="1" applyFont="1" applyBorder="1" applyAlignment="1">
      <alignment horizontal="right"/>
    </xf>
    <xf numFmtId="0" fontId="39" fillId="0" borderId="1" xfId="0" applyFont="1" applyBorder="1" applyAlignment="1">
      <alignment horizontal="left"/>
    </xf>
    <xf numFmtId="2" fontId="79" fillId="0" borderId="1" xfId="0" quotePrefix="1" applyNumberFormat="1" applyFont="1" applyBorder="1" applyAlignment="1">
      <alignment horizontal="right"/>
    </xf>
    <xf numFmtId="0" fontId="39" fillId="3" borderId="1" xfId="0" applyFont="1" applyFill="1" applyBorder="1" applyAlignment="1">
      <alignment horizontal="center"/>
    </xf>
    <xf numFmtId="0" fontId="128" fillId="25" borderId="1" xfId="0" applyFont="1" applyFill="1" applyBorder="1"/>
    <xf numFmtId="0" fontId="79" fillId="24" borderId="1" xfId="0" applyFont="1" applyFill="1" applyBorder="1" applyAlignment="1">
      <alignment horizontal="right"/>
    </xf>
    <xf numFmtId="0" fontId="39" fillId="0" borderId="1" xfId="0" applyFont="1" applyFill="1" applyBorder="1" applyAlignment="1">
      <alignment horizontal="center"/>
    </xf>
    <xf numFmtId="2" fontId="127" fillId="3" borderId="1" xfId="0" applyNumberFormat="1" applyFont="1" applyFill="1" applyBorder="1"/>
    <xf numFmtId="0" fontId="39" fillId="0" borderId="1" xfId="0" applyFont="1" applyFill="1" applyBorder="1"/>
    <xf numFmtId="0" fontId="79" fillId="24" borderId="1" xfId="0" applyFont="1" applyFill="1" applyBorder="1"/>
    <xf numFmtId="0" fontId="39" fillId="22" borderId="0" xfId="0" applyFont="1" applyFill="1"/>
    <xf numFmtId="0" fontId="79" fillId="3" borderId="1" xfId="0" applyFont="1" applyFill="1" applyBorder="1"/>
    <xf numFmtId="0" fontId="11" fillId="0" borderId="5" xfId="0" quotePrefix="1" applyFont="1" applyBorder="1" applyAlignment="1">
      <alignment horizontal="left"/>
    </xf>
    <xf numFmtId="0" fontId="11" fillId="0" borderId="7" xfId="0" applyFont="1" applyBorder="1"/>
    <xf numFmtId="2" fontId="37" fillId="0" borderId="0" xfId="0" applyNumberFormat="1" applyFont="1"/>
    <xf numFmtId="0" fontId="37" fillId="0" borderId="0" xfId="0" applyFont="1"/>
    <xf numFmtId="2" fontId="6" fillId="0" borderId="1" xfId="0" applyNumberFormat="1" applyFont="1" applyBorder="1" applyAlignment="1">
      <alignment horizontal="center"/>
    </xf>
    <xf numFmtId="0" fontId="0" fillId="0" borderId="1" xfId="0" applyBorder="1" applyAlignment="1">
      <alignment horizontal="left"/>
    </xf>
    <xf numFmtId="2" fontId="15" fillId="0" borderId="1" xfId="0" applyNumberFormat="1" applyFont="1" applyBorder="1" applyAlignment="1">
      <alignment horizontal="center"/>
    </xf>
    <xf numFmtId="0" fontId="129" fillId="0" borderId="1" xfId="0" applyFont="1" applyBorder="1"/>
    <xf numFmtId="2" fontId="129" fillId="0" borderId="1" xfId="0" applyNumberFormat="1" applyFont="1" applyBorder="1" applyAlignment="1">
      <alignment horizontal="center"/>
    </xf>
    <xf numFmtId="1" fontId="6" fillId="8" borderId="1" xfId="0" applyNumberFormat="1" applyFont="1" applyFill="1" applyBorder="1" applyAlignment="1">
      <alignment horizontal="center"/>
    </xf>
    <xf numFmtId="0" fontId="8" fillId="0" borderId="1" xfId="0" applyFont="1" applyBorder="1" applyAlignment="1">
      <alignment horizontal="left"/>
    </xf>
    <xf numFmtId="165" fontId="8" fillId="0" borderId="0" xfId="0" applyNumberFormat="1" applyFont="1" applyAlignment="1"/>
    <xf numFmtId="0" fontId="130" fillId="0" borderId="5" xfId="0" applyFont="1" applyBorder="1" applyAlignment="1">
      <alignment horizontal="left"/>
    </xf>
    <xf numFmtId="0" fontId="129" fillId="0" borderId="7" xfId="0" applyFont="1" applyBorder="1" applyAlignment="1">
      <alignment horizontal="center"/>
    </xf>
    <xf numFmtId="0" fontId="129" fillId="0" borderId="10" xfId="0" applyFont="1" applyBorder="1" applyAlignment="1">
      <alignment horizontal="left"/>
    </xf>
    <xf numFmtId="0" fontId="129" fillId="0" borderId="12" xfId="0" applyFont="1" applyBorder="1" applyAlignment="1">
      <alignment horizontal="center"/>
    </xf>
    <xf numFmtId="0" fontId="129" fillId="0" borderId="8" xfId="0" applyFont="1" applyBorder="1"/>
    <xf numFmtId="2" fontId="129" fillId="0" borderId="9" xfId="0" applyNumberFormat="1" applyFont="1" applyBorder="1" applyAlignment="1">
      <alignment horizontal="center"/>
    </xf>
    <xf numFmtId="0" fontId="129" fillId="0" borderId="3" xfId="0" applyFont="1" applyBorder="1" applyAlignment="1">
      <alignment horizontal="left"/>
    </xf>
    <xf numFmtId="0" fontId="130" fillId="0" borderId="13" xfId="0" applyFont="1" applyBorder="1" applyAlignment="1">
      <alignment horizontal="center"/>
    </xf>
    <xf numFmtId="2" fontId="0" fillId="0" borderId="0" xfId="0" applyNumberFormat="1" applyAlignment="1">
      <alignment horizontal="right"/>
    </xf>
    <xf numFmtId="164" fontId="37" fillId="0" borderId="0" xfId="0" applyNumberFormat="1" applyFont="1"/>
    <xf numFmtId="164" fontId="26" fillId="0" borderId="0" xfId="0" applyNumberFormat="1" applyFont="1" applyAlignment="1">
      <alignment horizontal="center"/>
    </xf>
    <xf numFmtId="0" fontId="129" fillId="0" borderId="0" xfId="0" applyFont="1" applyBorder="1"/>
    <xf numFmtId="2" fontId="129" fillId="0" borderId="0" xfId="0" applyNumberFormat="1" applyFont="1" applyBorder="1" applyAlignment="1">
      <alignment horizontal="center"/>
    </xf>
    <xf numFmtId="2" fontId="37" fillId="0" borderId="0" xfId="0" applyNumberFormat="1" applyFont="1" applyAlignment="1">
      <alignment horizontal="center"/>
    </xf>
    <xf numFmtId="2" fontId="129" fillId="0" borderId="1" xfId="0" applyNumberFormat="1" applyFont="1" applyBorder="1" applyAlignment="1">
      <alignment horizontal="left"/>
    </xf>
    <xf numFmtId="164" fontId="13" fillId="0" borderId="1" xfId="0" applyNumberFormat="1" applyFont="1" applyBorder="1"/>
    <xf numFmtId="164" fontId="19" fillId="0" borderId="1" xfId="0" applyNumberFormat="1" applyFont="1" applyBorder="1"/>
    <xf numFmtId="2" fontId="130" fillId="0" borderId="1" xfId="0" applyNumberFormat="1" applyFont="1" applyBorder="1" applyAlignment="1">
      <alignment horizontal="left"/>
    </xf>
    <xf numFmtId="2" fontId="129" fillId="0" borderId="1" xfId="0" quotePrefix="1" applyNumberFormat="1" applyFont="1" applyBorder="1" applyAlignment="1">
      <alignment horizontal="left"/>
    </xf>
    <xf numFmtId="0" fontId="9" fillId="0" borderId="3" xfId="0" applyFont="1" applyBorder="1"/>
    <xf numFmtId="0" fontId="13" fillId="0" borderId="2" xfId="0" applyFont="1" applyBorder="1"/>
    <xf numFmtId="0" fontId="9" fillId="0" borderId="2" xfId="0" applyFont="1" applyBorder="1" applyAlignment="1">
      <alignment horizontal="center"/>
    </xf>
    <xf numFmtId="0" fontId="9" fillId="0" borderId="2" xfId="0" applyFont="1" applyBorder="1"/>
    <xf numFmtId="2" fontId="9" fillId="0" borderId="13" xfId="0" applyNumberFormat="1" applyFont="1" applyBorder="1" applyAlignment="1">
      <alignment horizontal="center"/>
    </xf>
    <xf numFmtId="0" fontId="14" fillId="0" borderId="0" xfId="0" quotePrefix="1" applyFont="1" applyBorder="1" applyAlignment="1">
      <alignment horizontal="left"/>
    </xf>
    <xf numFmtId="0" fontId="43" fillId="0" borderId="0" xfId="0" applyFont="1" applyBorder="1" applyAlignment="1">
      <alignment horizontal="center"/>
    </xf>
    <xf numFmtId="2" fontId="43" fillId="0" borderId="0" xfId="0" applyNumberFormat="1" applyFont="1" applyBorder="1" applyAlignment="1">
      <alignment horizontal="center"/>
    </xf>
    <xf numFmtId="1" fontId="43" fillId="0" borderId="0" xfId="0" applyNumberFormat="1" applyFont="1" applyBorder="1" applyAlignment="1">
      <alignment horizontal="center"/>
    </xf>
    <xf numFmtId="0" fontId="43" fillId="0" borderId="0" xfId="0" applyFont="1" applyBorder="1" applyAlignment="1">
      <alignment horizontal="center" wrapText="1"/>
    </xf>
    <xf numFmtId="0" fontId="43" fillId="0" borderId="0" xfId="0" applyFont="1" applyFill="1" applyBorder="1" applyAlignment="1">
      <alignment horizontal="left" wrapText="1"/>
    </xf>
    <xf numFmtId="2" fontId="8" fillId="0" borderId="0" xfId="0" applyNumberFormat="1" applyFont="1" applyBorder="1" applyAlignment="1">
      <alignment horizontal="center"/>
    </xf>
    <xf numFmtId="0" fontId="19" fillId="0" borderId="0" xfId="0" applyFont="1" applyBorder="1" applyAlignment="1">
      <alignment horizontal="center"/>
    </xf>
    <xf numFmtId="0" fontId="23" fillId="0" borderId="0" xfId="0" applyFont="1" applyBorder="1"/>
    <xf numFmtId="0" fontId="23" fillId="0" borderId="0" xfId="0" applyNumberFormat="1" applyFont="1" applyBorder="1"/>
    <xf numFmtId="0" fontId="131" fillId="0" borderId="0" xfId="0" applyNumberFormat="1" applyFont="1" applyBorder="1"/>
    <xf numFmtId="0" fontId="23" fillId="0" borderId="0" xfId="0" applyNumberFormat="1" applyFont="1" applyFill="1" applyBorder="1"/>
    <xf numFmtId="0" fontId="11" fillId="0" borderId="3" xfId="0" applyFont="1" applyBorder="1"/>
    <xf numFmtId="1" fontId="0" fillId="0" borderId="3" xfId="0" applyNumberFormat="1" applyBorder="1" applyAlignment="1">
      <alignment horizontal="center"/>
    </xf>
    <xf numFmtId="1" fontId="0" fillId="0" borderId="1" xfId="0" applyNumberFormat="1" applyBorder="1" applyAlignment="1">
      <alignment horizontal="center"/>
    </xf>
    <xf numFmtId="0" fontId="11" fillId="0" borderId="3" xfId="0" quotePrefix="1" applyFont="1" applyBorder="1" applyAlignment="1">
      <alignment horizontal="left"/>
    </xf>
    <xf numFmtId="0" fontId="0" fillId="2" borderId="0" xfId="0" applyFill="1" applyBorder="1" applyAlignment="1">
      <alignment horizontal="center"/>
    </xf>
    <xf numFmtId="2" fontId="0" fillId="2" borderId="0" xfId="0" applyNumberFormat="1" applyFill="1"/>
    <xf numFmtId="0" fontId="14" fillId="0" borderId="11" xfId="0" applyFont="1" applyBorder="1" applyAlignment="1">
      <alignment horizontal="center"/>
    </xf>
    <xf numFmtId="0" fontId="8" fillId="0" borderId="3" xfId="0" applyFont="1" applyBorder="1"/>
    <xf numFmtId="1" fontId="0" fillId="0" borderId="3" xfId="0" applyNumberFormat="1" applyBorder="1"/>
    <xf numFmtId="0" fontId="8" fillId="0" borderId="3" xfId="0" quotePrefix="1" applyFont="1" applyBorder="1" applyAlignment="1">
      <alignment horizontal="left"/>
    </xf>
    <xf numFmtId="2" fontId="91" fillId="0" borderId="0" xfId="0" applyNumberFormat="1" applyFont="1"/>
    <xf numFmtId="1" fontId="9" fillId="0" borderId="0" xfId="0" applyNumberFormat="1" applyFont="1"/>
    <xf numFmtId="0" fontId="43" fillId="0" borderId="11" xfId="0" quotePrefix="1" applyFont="1" applyBorder="1" applyAlignment="1">
      <alignment horizontal="left"/>
    </xf>
    <xf numFmtId="1" fontId="9" fillId="0" borderId="11" xfId="0" applyNumberFormat="1" applyFont="1" applyBorder="1" applyAlignment="1">
      <alignment horizontal="right"/>
    </xf>
    <xf numFmtId="0" fontId="9" fillId="0" borderId="11" xfId="0" applyFont="1" applyBorder="1"/>
    <xf numFmtId="0" fontId="28" fillId="0" borderId="1" xfId="0" applyFont="1" applyBorder="1"/>
    <xf numFmtId="0" fontId="28" fillId="0" borderId="1" xfId="0" applyFont="1" applyBorder="1" applyAlignment="1"/>
    <xf numFmtId="169" fontId="0" fillId="0" borderId="0" xfId="0" applyNumberFormat="1" applyAlignment="1">
      <alignment horizontal="left"/>
    </xf>
    <xf numFmtId="2" fontId="0" fillId="8" borderId="1" xfId="0" applyNumberFormat="1" applyFill="1" applyBorder="1"/>
    <xf numFmtId="2" fontId="0" fillId="8" borderId="0" xfId="0" applyNumberFormat="1" applyFill="1" applyBorder="1"/>
    <xf numFmtId="2" fontId="14" fillId="0" borderId="0" xfId="0" applyNumberFormat="1" applyFont="1"/>
    <xf numFmtId="0" fontId="13" fillId="0" borderId="0" xfId="0" quotePrefix="1" applyFont="1" applyAlignment="1">
      <alignment horizontal="left"/>
    </xf>
    <xf numFmtId="169" fontId="0" fillId="0" borderId="0" xfId="0" quotePrefix="1" applyNumberFormat="1" applyAlignment="1">
      <alignment horizontal="center"/>
    </xf>
    <xf numFmtId="2" fontId="0" fillId="0" borderId="0" xfId="0" quotePrefix="1" applyNumberFormat="1" applyAlignment="1"/>
    <xf numFmtId="2" fontId="19" fillId="0" borderId="0" xfId="0" quotePrefix="1" applyNumberFormat="1" applyFont="1" applyAlignment="1">
      <alignment horizontal="right"/>
    </xf>
    <xf numFmtId="1" fontId="0" fillId="0" borderId="0" xfId="0" quotePrefix="1" applyNumberFormat="1" applyAlignment="1">
      <alignment horizontal="center"/>
    </xf>
    <xf numFmtId="2" fontId="13" fillId="0" borderId="0" xfId="0" applyNumberFormat="1" applyFont="1" applyFill="1"/>
    <xf numFmtId="2" fontId="14" fillId="0" borderId="0" xfId="0" applyNumberFormat="1" applyFont="1" applyAlignment="1">
      <alignment horizontal="center"/>
    </xf>
    <xf numFmtId="164" fontId="0" fillId="0" borderId="2" xfId="0" applyNumberFormat="1" applyBorder="1"/>
    <xf numFmtId="2" fontId="9" fillId="0" borderId="0" xfId="0" applyNumberFormat="1" applyFont="1"/>
    <xf numFmtId="2" fontId="19" fillId="0" borderId="0" xfId="0" applyNumberFormat="1" applyFont="1"/>
    <xf numFmtId="164" fontId="0" fillId="0" borderId="0" xfId="0" quotePrefix="1" applyNumberFormat="1" applyAlignment="1">
      <alignment horizontal="center"/>
    </xf>
    <xf numFmtId="169" fontId="0" fillId="0" borderId="0" xfId="0" applyNumberFormat="1" applyAlignment="1">
      <alignment horizontal="center"/>
    </xf>
    <xf numFmtId="0" fontId="19" fillId="0" borderId="0" xfId="0" applyFont="1" applyAlignment="1">
      <alignment horizontal="center"/>
    </xf>
    <xf numFmtId="169" fontId="0" fillId="0" borderId="0" xfId="0" applyNumberFormat="1" applyAlignment="1">
      <alignment horizontal="right"/>
    </xf>
    <xf numFmtId="2" fontId="13" fillId="0" borderId="0" xfId="0" applyNumberFormat="1" applyFont="1"/>
    <xf numFmtId="2" fontId="0" fillId="0" borderId="33" xfId="0" applyNumberFormat="1" applyBorder="1"/>
    <xf numFmtId="164" fontId="14" fillId="0" borderId="0" xfId="0" applyNumberFormat="1" applyFont="1" applyAlignment="1">
      <alignment horizontal="center"/>
    </xf>
    <xf numFmtId="164" fontId="9" fillId="0" borderId="0" xfId="0" applyNumberFormat="1" applyFont="1" applyAlignment="1">
      <alignment horizontal="center"/>
    </xf>
    <xf numFmtId="0" fontId="19" fillId="0" borderId="1" xfId="0" quotePrefix="1" applyFont="1" applyBorder="1" applyAlignment="1">
      <alignment horizontal="center"/>
    </xf>
    <xf numFmtId="4" fontId="0" fillId="0" borderId="0" xfId="0" applyNumberFormat="1"/>
    <xf numFmtId="2" fontId="14" fillId="2" borderId="0" xfId="0" applyNumberFormat="1" applyFont="1" applyFill="1"/>
    <xf numFmtId="0" fontId="13" fillId="2" borderId="0" xfId="0" applyFont="1" applyFill="1"/>
    <xf numFmtId="1" fontId="0" fillId="2" borderId="1" xfId="0" applyNumberFormat="1" applyFill="1" applyBorder="1"/>
    <xf numFmtId="166" fontId="9" fillId="0" borderId="2" xfId="0" applyNumberFormat="1" applyFont="1" applyBorder="1" applyAlignment="1">
      <alignment horizontal="right"/>
    </xf>
    <xf numFmtId="0" fontId="6" fillId="0" borderId="0" xfId="0" applyFont="1" applyAlignment="1">
      <alignment horizontal="left"/>
    </xf>
    <xf numFmtId="0" fontId="6" fillId="0" borderId="0" xfId="0" applyFont="1" applyAlignment="1">
      <alignment horizontal="center"/>
    </xf>
    <xf numFmtId="0" fontId="6" fillId="0" borderId="0" xfId="0" applyFont="1"/>
    <xf numFmtId="164" fontId="6" fillId="0" borderId="0" xfId="0" quotePrefix="1" applyNumberFormat="1" applyFont="1" applyAlignment="1">
      <alignment horizontal="left"/>
    </xf>
    <xf numFmtId="0" fontId="19" fillId="0" borderId="0" xfId="0" quotePrefix="1" applyFont="1" applyBorder="1" applyAlignment="1">
      <alignment horizontal="center"/>
    </xf>
    <xf numFmtId="2" fontId="6" fillId="0" borderId="0" xfId="0" applyNumberFormat="1" applyFont="1" applyAlignment="1">
      <alignment horizontal="center"/>
    </xf>
    <xf numFmtId="0" fontId="6" fillId="0" borderId="0" xfId="0" applyFont="1" applyFill="1" applyBorder="1" applyAlignment="1">
      <alignment horizontal="center"/>
    </xf>
    <xf numFmtId="2" fontId="19" fillId="0" borderId="0" xfId="0" applyNumberFormat="1" applyFont="1" applyBorder="1" applyAlignment="1">
      <alignment horizontal="center"/>
    </xf>
    <xf numFmtId="0" fontId="5" fillId="0" borderId="0" xfId="0" applyFont="1" applyFill="1" applyBorder="1"/>
    <xf numFmtId="2" fontId="38" fillId="9" borderId="16" xfId="0" applyNumberFormat="1" applyFont="1" applyFill="1" applyBorder="1"/>
    <xf numFmtId="2" fontId="12" fillId="9" borderId="1" xfId="0" applyNumberFormat="1" applyFont="1" applyFill="1" applyBorder="1"/>
    <xf numFmtId="0" fontId="19" fillId="0" borderId="1" xfId="0" applyFont="1" applyBorder="1" applyAlignment="1">
      <alignment horizontal="left"/>
    </xf>
    <xf numFmtId="165" fontId="6" fillId="0" borderId="0" xfId="0" applyNumberFormat="1" applyFont="1" applyAlignment="1">
      <alignment horizontal="center"/>
    </xf>
    <xf numFmtId="2" fontId="38" fillId="9" borderId="1" xfId="0" applyNumberFormat="1" applyFont="1" applyFill="1" applyBorder="1"/>
    <xf numFmtId="164" fontId="38" fillId="9" borderId="1" xfId="0" applyNumberFormat="1" applyFont="1" applyFill="1" applyBorder="1"/>
    <xf numFmtId="2" fontId="6" fillId="0" borderId="0" xfId="0" applyNumberFormat="1" applyFont="1" applyFill="1" applyBorder="1" applyAlignment="1">
      <alignment horizontal="center"/>
    </xf>
    <xf numFmtId="0" fontId="8" fillId="0" borderId="0" xfId="0" applyFont="1" applyFill="1" applyBorder="1"/>
    <xf numFmtId="2" fontId="6" fillId="0" borderId="0" xfId="0" applyNumberFormat="1" applyFont="1" applyAlignment="1">
      <alignment horizontal="left"/>
    </xf>
    <xf numFmtId="2" fontId="19" fillId="0" borderId="0" xfId="0" applyNumberFormat="1" applyFont="1" applyAlignment="1">
      <alignment horizontal="center"/>
    </xf>
    <xf numFmtId="0" fontId="6" fillId="0" borderId="0" xfId="0" quotePrefix="1" applyFont="1" applyAlignment="1">
      <alignment horizontal="left"/>
    </xf>
    <xf numFmtId="0" fontId="5" fillId="0" borderId="11" xfId="0" applyFont="1" applyBorder="1"/>
    <xf numFmtId="0" fontId="12" fillId="18" borderId="1" xfId="0" applyFont="1" applyFill="1" applyBorder="1"/>
    <xf numFmtId="0" fontId="12" fillId="18" borderId="1" xfId="0" applyFont="1" applyFill="1" applyBorder="1" applyAlignment="1">
      <alignment horizontal="center"/>
    </xf>
    <xf numFmtId="0" fontId="34" fillId="0" borderId="11" xfId="0" applyFont="1" applyBorder="1"/>
    <xf numFmtId="0" fontId="2" fillId="0" borderId="0" xfId="0" quotePrefix="1" applyFont="1" applyBorder="1" applyAlignment="1">
      <alignment horizontal="center"/>
    </xf>
    <xf numFmtId="0" fontId="58" fillId="0" borderId="0" xfId="0" applyFont="1" applyAlignment="1"/>
    <xf numFmtId="0" fontId="58" fillId="0" borderId="0" xfId="0" applyFont="1"/>
    <xf numFmtId="164" fontId="3" fillId="0" borderId="0" xfId="0" applyNumberFormat="1" applyFont="1" applyAlignment="1">
      <alignment horizontal="right"/>
    </xf>
    <xf numFmtId="164" fontId="3" fillId="0" borderId="0" xfId="0" applyNumberFormat="1" applyFont="1" applyAlignment="1">
      <alignment horizontal="center"/>
    </xf>
    <xf numFmtId="0" fontId="4" fillId="0" borderId="0" xfId="0" applyFont="1" applyBorder="1"/>
    <xf numFmtId="0" fontId="133" fillId="0" borderId="0" xfId="0" applyFont="1" applyAlignment="1">
      <alignment horizontal="left"/>
    </xf>
    <xf numFmtId="0" fontId="134" fillId="0" borderId="0" xfId="0" applyFont="1" applyAlignment="1">
      <alignment horizontal="left"/>
    </xf>
    <xf numFmtId="0" fontId="135" fillId="0" borderId="0" xfId="0" applyFont="1" applyAlignment="1">
      <alignment horizontal="left"/>
    </xf>
    <xf numFmtId="0" fontId="3" fillId="0" borderId="0" xfId="0" applyFont="1" applyBorder="1" applyAlignment="1">
      <alignment horizontal="center" vertical="center" wrapText="1"/>
    </xf>
    <xf numFmtId="1" fontId="76" fillId="12" borderId="1" xfId="0" applyNumberFormat="1" applyFont="1" applyFill="1" applyBorder="1" applyAlignment="1">
      <alignment horizontal="center"/>
    </xf>
    <xf numFmtId="0" fontId="0" fillId="18" borderId="1" xfId="0" applyFill="1" applyBorder="1" applyAlignment="1">
      <alignment horizontal="center"/>
    </xf>
    <xf numFmtId="0" fontId="8" fillId="0" borderId="0" xfId="0" applyFont="1" applyAlignment="1">
      <alignment horizontal="center" wrapText="1"/>
    </xf>
    <xf numFmtId="0" fontId="35" fillId="0" borderId="0" xfId="0" applyFont="1" applyBorder="1" applyAlignment="1">
      <alignment horizontal="left" vertical="center" wrapText="1"/>
    </xf>
    <xf numFmtId="2" fontId="14" fillId="0" borderId="0" xfId="0" applyNumberFormat="1" applyFont="1" applyAlignment="1">
      <alignment horizontal="right"/>
    </xf>
    <xf numFmtId="0" fontId="3" fillId="0" borderId="2" xfId="0" applyFont="1" applyBorder="1" applyAlignment="1">
      <alignment horizontal="center"/>
    </xf>
    <xf numFmtId="0" fontId="0" fillId="0" borderId="0" xfId="0" quotePrefix="1" applyAlignment="1">
      <alignment vertical="justify"/>
    </xf>
    <xf numFmtId="1" fontId="2" fillId="0" borderId="11" xfId="0" applyNumberFormat="1" applyFont="1" applyBorder="1" applyAlignment="1">
      <alignment horizontal="center"/>
    </xf>
    <xf numFmtId="0" fontId="11" fillId="0" borderId="0" xfId="0" quotePrefix="1" applyFont="1" applyBorder="1" applyAlignment="1">
      <alignment horizontal="center"/>
    </xf>
    <xf numFmtId="2" fontId="0" fillId="0" borderId="0" xfId="0" quotePrefix="1" applyNumberFormat="1" applyBorder="1" applyAlignment="1">
      <alignment horizontal="center"/>
    </xf>
    <xf numFmtId="2" fontId="91" fillId="0" borderId="1" xfId="0" applyNumberFormat="1" applyFont="1" applyBorder="1" applyAlignment="1">
      <alignment horizontal="center"/>
    </xf>
    <xf numFmtId="1" fontId="109" fillId="0" borderId="1" xfId="0" applyNumberFormat="1" applyFont="1" applyBorder="1" applyAlignment="1">
      <alignment horizontal="center"/>
    </xf>
    <xf numFmtId="0" fontId="109" fillId="0" borderId="1" xfId="0" applyFont="1" applyBorder="1" applyAlignment="1">
      <alignment horizontal="center"/>
    </xf>
    <xf numFmtId="2" fontId="136" fillId="0" borderId="1" xfId="0" applyNumberFormat="1" applyFont="1" applyBorder="1" applyAlignment="1">
      <alignment horizontal="center"/>
    </xf>
    <xf numFmtId="0" fontId="129" fillId="0" borderId="5" xfId="0" applyFont="1" applyBorder="1" applyAlignment="1">
      <alignment horizontal="left"/>
    </xf>
    <xf numFmtId="164" fontId="37" fillId="0" borderId="0" xfId="0" applyNumberFormat="1" applyFont="1" applyAlignment="1">
      <alignment horizontal="right"/>
    </xf>
    <xf numFmtId="2" fontId="13" fillId="0" borderId="0" xfId="0" applyNumberFormat="1" applyFont="1" applyAlignment="1">
      <alignment horizontal="right"/>
    </xf>
    <xf numFmtId="164" fontId="19" fillId="0" borderId="0" xfId="0" applyNumberFormat="1" applyFont="1" applyAlignment="1">
      <alignment horizontal="right"/>
    </xf>
    <xf numFmtId="164" fontId="37" fillId="0" borderId="1" xfId="0" applyNumberFormat="1" applyFont="1" applyBorder="1"/>
    <xf numFmtId="164" fontId="26" fillId="0" borderId="1" xfId="0" applyNumberFormat="1" applyFont="1" applyBorder="1" applyAlignment="1">
      <alignment horizontal="center"/>
    </xf>
    <xf numFmtId="0" fontId="43" fillId="0" borderId="0" xfId="0" applyFont="1" applyBorder="1"/>
    <xf numFmtId="0" fontId="28" fillId="0" borderId="0" xfId="0" applyFont="1" applyBorder="1" applyAlignment="1"/>
    <xf numFmtId="0" fontId="36" fillId="0" borderId="0" xfId="0" applyFont="1" applyBorder="1" applyAlignment="1">
      <alignment horizontal="center"/>
    </xf>
    <xf numFmtId="1" fontId="3" fillId="2" borderId="1" xfId="0" applyNumberFormat="1" applyFont="1" applyFill="1" applyBorder="1" applyAlignment="1">
      <alignment horizontal="right"/>
    </xf>
    <xf numFmtId="176" fontId="2" fillId="0" borderId="2" xfId="0" applyNumberFormat="1" applyFont="1" applyBorder="1"/>
    <xf numFmtId="0" fontId="45" fillId="2" borderId="1" xfId="0" applyFont="1" applyFill="1" applyBorder="1" applyAlignment="1">
      <alignment horizontal="center"/>
    </xf>
    <xf numFmtId="0" fontId="38" fillId="0" borderId="1" xfId="0" quotePrefix="1" applyFont="1" applyBorder="1" applyAlignment="1">
      <alignment horizontal="left"/>
    </xf>
    <xf numFmtId="1" fontId="38" fillId="8" borderId="13" xfId="0" applyNumberFormat="1" applyFont="1" applyFill="1" applyBorder="1" applyAlignment="1">
      <alignment horizontal="center"/>
    </xf>
    <xf numFmtId="0" fontId="90" fillId="0" borderId="1" xfId="0" applyFont="1" applyBorder="1"/>
    <xf numFmtId="0" fontId="90" fillId="0" borderId="1" xfId="0" quotePrefix="1" applyFont="1" applyBorder="1" applyAlignment="1">
      <alignment horizontal="left"/>
    </xf>
    <xf numFmtId="0" fontId="5" fillId="0" borderId="1" xfId="0" applyFont="1" applyBorder="1" applyAlignment="1">
      <alignment wrapText="1"/>
    </xf>
    <xf numFmtId="0" fontId="5" fillId="0" borderId="1" xfId="0" quotePrefix="1" applyFont="1" applyBorder="1" applyAlignment="1">
      <alignment horizontal="left"/>
    </xf>
    <xf numFmtId="0" fontId="137" fillId="25" borderId="0" xfId="0" applyFont="1" applyFill="1"/>
    <xf numFmtId="0" fontId="139" fillId="0" borderId="0" xfId="0" applyFont="1" applyBorder="1" applyAlignment="1">
      <alignment horizontal="justify" vertical="justify"/>
    </xf>
    <xf numFmtId="0" fontId="76" fillId="0" borderId="0" xfId="0" applyFont="1" applyAlignment="1">
      <alignment horizontal="left"/>
    </xf>
    <xf numFmtId="0" fontId="19" fillId="18" borderId="0" xfId="0" applyFont="1" applyFill="1"/>
    <xf numFmtId="0" fontId="13" fillId="18" borderId="0" xfId="0" applyFont="1" applyFill="1"/>
    <xf numFmtId="0" fontId="0" fillId="10" borderId="0" xfId="0" applyFill="1"/>
    <xf numFmtId="9" fontId="3" fillId="8" borderId="0" xfId="1" applyFont="1" applyFill="1" applyBorder="1"/>
    <xf numFmtId="176" fontId="2" fillId="0" borderId="11" xfId="0" applyNumberFormat="1" applyFont="1" applyBorder="1"/>
    <xf numFmtId="173" fontId="32" fillId="0" borderId="1" xfId="0" applyNumberFormat="1" applyFont="1" applyBorder="1"/>
    <xf numFmtId="0" fontId="140" fillId="5" borderId="0" xfId="0" applyFont="1" applyFill="1" applyProtection="1">
      <protection locked="0"/>
    </xf>
    <xf numFmtId="0" fontId="0" fillId="0" borderId="1" xfId="0" applyFill="1" applyBorder="1" applyAlignment="1">
      <alignment horizontal="center" vertical="top"/>
    </xf>
    <xf numFmtId="0" fontId="22" fillId="0" borderId="1" xfId="0" applyFont="1" applyBorder="1" applyAlignment="1">
      <alignment vertical="top"/>
    </xf>
    <xf numFmtId="1" fontId="0" fillId="0" borderId="1" xfId="0" applyNumberFormat="1" applyBorder="1" applyAlignment="1">
      <alignment vertical="top"/>
    </xf>
    <xf numFmtId="0" fontId="23" fillId="0" borderId="1" xfId="0" applyFont="1" applyBorder="1" applyAlignment="1" applyProtection="1">
      <alignment vertical="top"/>
      <protection locked="0"/>
    </xf>
    <xf numFmtId="0" fontId="24" fillId="0" borderId="1" xfId="0" applyFont="1" applyBorder="1" applyAlignment="1" applyProtection="1">
      <alignment vertical="top"/>
      <protection locked="0"/>
    </xf>
    <xf numFmtId="1" fontId="0" fillId="0" borderId="1" xfId="0" applyNumberFormat="1" applyFont="1" applyBorder="1" applyAlignment="1">
      <alignment vertical="top"/>
    </xf>
    <xf numFmtId="0" fontId="22" fillId="0" borderId="1" xfId="0" applyFont="1" applyFill="1" applyBorder="1" applyAlignment="1">
      <alignment vertical="top"/>
    </xf>
    <xf numFmtId="0" fontId="26" fillId="0" borderId="1" xfId="0" applyFont="1" applyBorder="1" applyAlignment="1">
      <alignment vertical="top" wrapText="1"/>
    </xf>
    <xf numFmtId="1" fontId="0" fillId="0" borderId="1" xfId="0" applyNumberFormat="1" applyFill="1" applyBorder="1" applyAlignment="1">
      <alignment vertical="top"/>
    </xf>
    <xf numFmtId="0" fontId="25" fillId="0" borderId="1" xfId="0" applyFont="1" applyFill="1" applyBorder="1" applyAlignment="1">
      <alignment vertical="top"/>
    </xf>
    <xf numFmtId="0" fontId="141" fillId="0" borderId="0" xfId="2" applyFont="1" applyAlignment="1">
      <alignment horizontal="center" vertical="top"/>
    </xf>
    <xf numFmtId="0" fontId="142" fillId="0" borderId="0" xfId="2" applyFont="1"/>
    <xf numFmtId="0" fontId="141" fillId="0" borderId="0" xfId="2" applyFont="1"/>
    <xf numFmtId="0" fontId="142" fillId="0" borderId="0" xfId="2" applyFont="1" applyAlignment="1">
      <alignment horizontal="left"/>
    </xf>
    <xf numFmtId="0" fontId="143" fillId="0" borderId="0" xfId="2" applyFont="1" applyBorder="1" applyAlignment="1">
      <alignment vertical="top"/>
    </xf>
    <xf numFmtId="0" fontId="141" fillId="0" borderId="4" xfId="2" applyFont="1" applyBorder="1" applyAlignment="1">
      <alignment horizontal="center" vertical="top"/>
    </xf>
    <xf numFmtId="0" fontId="142" fillId="0" borderId="4" xfId="2" applyFont="1" applyBorder="1" applyAlignment="1">
      <alignment horizontal="center"/>
    </xf>
    <xf numFmtId="0" fontId="141" fillId="0" borderId="4" xfId="2" applyFont="1" applyBorder="1" applyAlignment="1">
      <alignment horizontal="center"/>
    </xf>
    <xf numFmtId="0" fontId="142" fillId="0" borderId="4" xfId="2" applyFont="1" applyBorder="1" applyAlignment="1">
      <alignment horizontal="left"/>
    </xf>
    <xf numFmtId="0" fontId="144" fillId="0" borderId="0" xfId="2" applyFont="1" applyBorder="1" applyAlignment="1">
      <alignment horizontal="center" vertical="top" wrapText="1"/>
    </xf>
    <xf numFmtId="0" fontId="144" fillId="0" borderId="0" xfId="2" applyFont="1" applyBorder="1" applyAlignment="1">
      <alignment vertical="top" wrapText="1"/>
    </xf>
    <xf numFmtId="0" fontId="142" fillId="0" borderId="4" xfId="2" applyFont="1" applyBorder="1" applyAlignment="1">
      <alignment horizontal="center" vertical="top"/>
    </xf>
    <xf numFmtId="0" fontId="142" fillId="0" borderId="4" xfId="2" applyFont="1" applyBorder="1" applyAlignment="1">
      <alignment vertical="top"/>
    </xf>
    <xf numFmtId="0" fontId="142" fillId="0" borderId="4" xfId="2" applyFont="1" applyBorder="1"/>
    <xf numFmtId="0" fontId="141" fillId="0" borderId="4" xfId="2" applyFont="1" applyBorder="1"/>
    <xf numFmtId="0" fontId="145" fillId="0" borderId="4" xfId="2" applyFont="1" applyBorder="1" applyAlignment="1">
      <alignment horizontal="right" vertical="top"/>
    </xf>
    <xf numFmtId="0" fontId="142" fillId="0" borderId="4" xfId="2" applyFont="1" applyBorder="1" applyAlignment="1">
      <alignment horizontal="left" vertical="top"/>
    </xf>
    <xf numFmtId="1" fontId="145" fillId="0" borderId="4" xfId="2" applyNumberFormat="1" applyFont="1" applyBorder="1" applyAlignment="1">
      <alignment horizontal="right" vertical="top"/>
    </xf>
    <xf numFmtId="0" fontId="146" fillId="0" borderId="4" xfId="2" applyFont="1" applyBorder="1" applyAlignment="1">
      <alignment horizontal="left" vertical="top"/>
    </xf>
    <xf numFmtId="1" fontId="142" fillId="0" borderId="4" xfId="2" applyNumberFormat="1" applyFont="1" applyBorder="1" applyAlignment="1">
      <alignment horizontal="right" vertical="top"/>
    </xf>
    <xf numFmtId="2" fontId="142" fillId="0" borderId="4" xfId="2" applyNumberFormat="1" applyFont="1" applyBorder="1"/>
    <xf numFmtId="1" fontId="142" fillId="0" borderId="4" xfId="2" applyNumberFormat="1" applyFont="1" applyBorder="1" applyAlignment="1">
      <alignment horizontal="left" vertical="top"/>
    </xf>
    <xf numFmtId="0" fontId="147" fillId="0" borderId="4" xfId="2" applyFont="1" applyBorder="1" applyAlignment="1">
      <alignment horizontal="right" vertical="top"/>
    </xf>
    <xf numFmtId="0" fontId="141" fillId="0" borderId="4" xfId="2" applyFont="1" applyBorder="1" applyAlignment="1">
      <alignment vertical="top"/>
    </xf>
    <xf numFmtId="1" fontId="142" fillId="8" borderId="4" xfId="2" applyNumberFormat="1" applyFont="1" applyFill="1" applyBorder="1" applyAlignment="1">
      <alignment horizontal="left" vertical="top"/>
    </xf>
    <xf numFmtId="1" fontId="142" fillId="0" borderId="0" xfId="2" applyNumberFormat="1" applyFont="1"/>
    <xf numFmtId="0" fontId="146" fillId="0" borderId="4" xfId="2" applyFont="1" applyBorder="1" applyAlignment="1">
      <alignment vertical="top"/>
    </xf>
    <xf numFmtId="0" fontId="141" fillId="25" borderId="4" xfId="2" applyFont="1" applyFill="1" applyBorder="1" applyAlignment="1">
      <alignment horizontal="center" vertical="top"/>
    </xf>
    <xf numFmtId="0" fontId="146" fillId="25" borderId="4" xfId="2" applyFont="1" applyFill="1" applyBorder="1" applyAlignment="1">
      <alignment vertical="top"/>
    </xf>
    <xf numFmtId="0" fontId="141" fillId="25" borderId="4" xfId="2" applyFont="1" applyFill="1" applyBorder="1" applyAlignment="1">
      <alignment vertical="top"/>
    </xf>
    <xf numFmtId="0" fontId="142" fillId="25" borderId="4" xfId="2" applyFont="1" applyFill="1" applyBorder="1" applyAlignment="1">
      <alignment vertical="top"/>
    </xf>
    <xf numFmtId="0" fontId="142" fillId="25" borderId="4" xfId="2" applyFont="1" applyFill="1" applyBorder="1" applyAlignment="1">
      <alignment horizontal="left" vertical="top"/>
    </xf>
    <xf numFmtId="0" fontId="142" fillId="25" borderId="4" xfId="2" applyFont="1" applyFill="1" applyBorder="1"/>
    <xf numFmtId="0" fontId="142" fillId="25" borderId="0" xfId="2" applyFont="1" applyFill="1"/>
    <xf numFmtId="0" fontId="141" fillId="25" borderId="4" xfId="2" applyFont="1" applyFill="1" applyBorder="1"/>
    <xf numFmtId="0" fontId="142" fillId="25" borderId="4" xfId="2" applyFont="1" applyFill="1" applyBorder="1" applyAlignment="1">
      <alignment horizontal="left"/>
    </xf>
    <xf numFmtId="0" fontId="142" fillId="25" borderId="4" xfId="2" quotePrefix="1" applyFont="1" applyFill="1" applyBorder="1" applyAlignment="1">
      <alignment horizontal="left"/>
    </xf>
    <xf numFmtId="1" fontId="142" fillId="25" borderId="4" xfId="2" applyNumberFormat="1" applyFont="1" applyFill="1" applyBorder="1" applyAlignment="1">
      <alignment horizontal="right" vertical="top"/>
    </xf>
    <xf numFmtId="2" fontId="142" fillId="25" borderId="4" xfId="2" applyNumberFormat="1" applyFont="1" applyFill="1" applyBorder="1"/>
    <xf numFmtId="2" fontId="142" fillId="25" borderId="4" xfId="2" applyNumberFormat="1" applyFont="1" applyFill="1" applyBorder="1" applyAlignment="1">
      <alignment horizontal="right" vertical="top"/>
    </xf>
    <xf numFmtId="2" fontId="142" fillId="25" borderId="0" xfId="2" applyNumberFormat="1" applyFont="1" applyFill="1"/>
    <xf numFmtId="0" fontId="141" fillId="25" borderId="4" xfId="2" quotePrefix="1" applyFont="1" applyFill="1" applyBorder="1" applyAlignment="1">
      <alignment horizontal="left"/>
    </xf>
    <xf numFmtId="0" fontId="141" fillId="8" borderId="4" xfId="2" applyFont="1" applyFill="1" applyBorder="1"/>
    <xf numFmtId="0" fontId="146" fillId="8" borderId="39" xfId="2" quotePrefix="1" applyFont="1" applyFill="1" applyBorder="1" applyAlignment="1">
      <alignment horizontal="left" vertical="top"/>
    </xf>
    <xf numFmtId="0" fontId="142" fillId="8" borderId="39" xfId="2" applyFont="1" applyFill="1" applyBorder="1"/>
    <xf numFmtId="0" fontId="141" fillId="8" borderId="39" xfId="2" applyFont="1" applyFill="1" applyBorder="1"/>
    <xf numFmtId="0" fontId="142" fillId="8" borderId="39" xfId="2" applyFont="1" applyFill="1" applyBorder="1" applyAlignment="1">
      <alignment horizontal="right" vertical="top"/>
    </xf>
    <xf numFmtId="0" fontId="142" fillId="8" borderId="0" xfId="2" applyFont="1" applyFill="1"/>
    <xf numFmtId="0" fontId="142" fillId="8" borderId="40" xfId="2" applyFont="1" applyFill="1" applyBorder="1" applyAlignment="1">
      <alignment horizontal="left" vertical="top"/>
    </xf>
    <xf numFmtId="0" fontId="142" fillId="8" borderId="41" xfId="2" applyFont="1" applyFill="1" applyBorder="1"/>
    <xf numFmtId="0" fontId="142" fillId="8" borderId="42" xfId="2" applyFont="1" applyFill="1" applyBorder="1"/>
    <xf numFmtId="1" fontId="142" fillId="8" borderId="0" xfId="2" applyNumberFormat="1" applyFont="1" applyFill="1" applyBorder="1" applyAlignment="1">
      <alignment horizontal="right" vertical="top"/>
    </xf>
    <xf numFmtId="1" fontId="142" fillId="8" borderId="0" xfId="2" applyNumberFormat="1" applyFont="1" applyFill="1" applyAlignment="1">
      <alignment horizontal="right" vertical="top"/>
    </xf>
    <xf numFmtId="1" fontId="142" fillId="8" borderId="39" xfId="2" applyNumberFormat="1" applyFont="1" applyFill="1" applyBorder="1" applyAlignment="1">
      <alignment horizontal="right" vertical="top"/>
    </xf>
    <xf numFmtId="0" fontId="142" fillId="8" borderId="39" xfId="2" quotePrefix="1" applyFont="1" applyFill="1" applyBorder="1" applyAlignment="1">
      <alignment horizontal="left"/>
    </xf>
    <xf numFmtId="0" fontId="141" fillId="8" borderId="40" xfId="2" applyFont="1" applyFill="1" applyBorder="1" applyAlignment="1">
      <alignment horizontal="left"/>
    </xf>
    <xf numFmtId="0" fontId="142" fillId="8" borderId="41" xfId="2" applyFont="1" applyFill="1" applyBorder="1" applyAlignment="1"/>
    <xf numFmtId="0" fontId="142" fillId="8" borderId="42" xfId="2" applyFont="1" applyFill="1" applyBorder="1" applyAlignment="1"/>
    <xf numFmtId="0" fontId="141" fillId="8" borderId="4" xfId="2" applyFont="1" applyFill="1" applyBorder="1" applyAlignment="1">
      <alignment horizontal="center" vertical="top"/>
    </xf>
    <xf numFmtId="0" fontId="142" fillId="8" borderId="4" xfId="2" applyFont="1" applyFill="1" applyBorder="1"/>
    <xf numFmtId="0" fontId="141" fillId="8" borderId="4" xfId="2" applyFont="1" applyFill="1" applyBorder="1" applyAlignment="1">
      <alignment vertical="top"/>
    </xf>
    <xf numFmtId="0" fontId="142" fillId="8" borderId="4" xfId="2" applyFont="1" applyFill="1" applyBorder="1" applyAlignment="1">
      <alignment horizontal="left"/>
    </xf>
    <xf numFmtId="2" fontId="142" fillId="8" borderId="4" xfId="2" applyNumberFormat="1" applyFont="1" applyFill="1" applyBorder="1"/>
    <xf numFmtId="1" fontId="142" fillId="0" borderId="0" xfId="2" applyNumberFormat="1" applyFont="1" applyAlignment="1">
      <alignment horizontal="left"/>
    </xf>
    <xf numFmtId="2" fontId="142" fillId="0" borderId="4" xfId="2" applyNumberFormat="1" applyFont="1" applyBorder="1" applyAlignment="1">
      <alignment horizontal="right" vertical="top"/>
    </xf>
    <xf numFmtId="2" fontId="142" fillId="0" borderId="4" xfId="2" applyNumberFormat="1" applyFont="1" applyBorder="1" applyAlignment="1">
      <alignment horizontal="left"/>
    </xf>
    <xf numFmtId="2" fontId="142" fillId="0" borderId="0" xfId="2" applyNumberFormat="1" applyFont="1" applyBorder="1" applyAlignment="1">
      <alignment horizontal="left"/>
    </xf>
    <xf numFmtId="0" fontId="142" fillId="0" borderId="0" xfId="2" applyFont="1" applyBorder="1"/>
    <xf numFmtId="0" fontId="147" fillId="0" borderId="4" xfId="2" applyFont="1" applyBorder="1"/>
    <xf numFmtId="0" fontId="141" fillId="0" borderId="4" xfId="2" quotePrefix="1" applyFont="1" applyBorder="1" applyAlignment="1">
      <alignment horizontal="left"/>
    </xf>
    <xf numFmtId="0" fontId="146" fillId="0" borderId="4" xfId="2" applyFont="1" applyBorder="1"/>
    <xf numFmtId="0" fontId="142" fillId="0" borderId="4" xfId="2" quotePrefix="1" applyFont="1" applyBorder="1" applyAlignment="1">
      <alignment horizontal="left"/>
    </xf>
    <xf numFmtId="1" fontId="142" fillId="0" borderId="4" xfId="2" applyNumberFormat="1" applyFont="1" applyBorder="1" applyAlignment="1">
      <alignment horizontal="left"/>
    </xf>
    <xf numFmtId="0" fontId="142" fillId="0" borderId="4" xfId="2" applyFont="1" applyBorder="1" applyAlignment="1">
      <alignment horizontal="right" vertical="top"/>
    </xf>
    <xf numFmtId="0" fontId="146" fillId="0" borderId="4" xfId="2" quotePrefix="1" applyFont="1" applyBorder="1" applyAlignment="1">
      <alignment horizontal="left"/>
    </xf>
    <xf numFmtId="0" fontId="147" fillId="0" borderId="4" xfId="2" applyFont="1" applyBorder="1" applyAlignment="1">
      <alignment horizontal="left"/>
    </xf>
    <xf numFmtId="0" fontId="146" fillId="0" borderId="4" xfId="2" applyFont="1" applyBorder="1" applyAlignment="1">
      <alignment horizontal="center" vertical="top"/>
    </xf>
    <xf numFmtId="0" fontId="141" fillId="0" borderId="4" xfId="2" applyFont="1" applyBorder="1" applyAlignment="1">
      <alignment horizontal="left"/>
    </xf>
    <xf numFmtId="0" fontId="148" fillId="0" borderId="4" xfId="2" applyFont="1" applyBorder="1"/>
    <xf numFmtId="0" fontId="148" fillId="0" borderId="4" xfId="2" applyFont="1" applyBorder="1" applyAlignment="1">
      <alignment horizontal="left"/>
    </xf>
    <xf numFmtId="0" fontId="141" fillId="3" borderId="4" xfId="2" applyFont="1" applyFill="1" applyBorder="1"/>
    <xf numFmtId="0" fontId="146" fillId="3" borderId="39" xfId="2" quotePrefix="1" applyFont="1" applyFill="1" applyBorder="1" applyAlignment="1">
      <alignment horizontal="left" vertical="top"/>
    </xf>
    <xf numFmtId="0" fontId="142" fillId="3" borderId="39" xfId="2" applyFont="1" applyFill="1" applyBorder="1"/>
    <xf numFmtId="0" fontId="141" fillId="3" borderId="39" xfId="2" applyFont="1" applyFill="1" applyBorder="1"/>
    <xf numFmtId="0" fontId="142" fillId="3" borderId="39" xfId="2" applyFont="1" applyFill="1" applyBorder="1" applyAlignment="1">
      <alignment horizontal="right" vertical="top"/>
    </xf>
    <xf numFmtId="0" fontId="142" fillId="3" borderId="0" xfId="2" applyFont="1" applyFill="1"/>
    <xf numFmtId="0" fontId="142" fillId="3" borderId="40" xfId="2" applyFont="1" applyFill="1" applyBorder="1" applyAlignment="1">
      <alignment horizontal="left" vertical="top"/>
    </xf>
    <xf numFmtId="0" fontId="142" fillId="3" borderId="41" xfId="2" applyFont="1" applyFill="1" applyBorder="1"/>
    <xf numFmtId="0" fontId="142" fillId="3" borderId="42" xfId="2" applyFont="1" applyFill="1" applyBorder="1"/>
    <xf numFmtId="1" fontId="142" fillId="3" borderId="0" xfId="2" applyNumberFormat="1" applyFont="1" applyFill="1" applyBorder="1" applyAlignment="1">
      <alignment horizontal="right" vertical="top"/>
    </xf>
    <xf numFmtId="1" fontId="142" fillId="3" borderId="0" xfId="2" applyNumberFormat="1" applyFont="1" applyFill="1" applyAlignment="1">
      <alignment horizontal="right" vertical="top"/>
    </xf>
    <xf numFmtId="1" fontId="142" fillId="3" borderId="39" xfId="2" applyNumberFormat="1" applyFont="1" applyFill="1" applyBorder="1" applyAlignment="1">
      <alignment horizontal="right" vertical="top"/>
    </xf>
    <xf numFmtId="0" fontId="142" fillId="3" borderId="39" xfId="2" quotePrefix="1" applyFont="1" applyFill="1" applyBorder="1" applyAlignment="1">
      <alignment horizontal="left"/>
    </xf>
    <xf numFmtId="0" fontId="141" fillId="3" borderId="40" xfId="2" applyFont="1" applyFill="1" applyBorder="1" applyAlignment="1">
      <alignment horizontal="left"/>
    </xf>
    <xf numFmtId="0" fontId="142" fillId="3" borderId="41" xfId="2" applyFont="1" applyFill="1" applyBorder="1" applyAlignment="1"/>
    <xf numFmtId="0" fontId="142" fillId="3" borderId="42" xfId="2" applyFont="1" applyFill="1" applyBorder="1" applyAlignment="1"/>
    <xf numFmtId="0" fontId="142" fillId="3" borderId="4" xfId="2" applyFont="1" applyFill="1" applyBorder="1"/>
    <xf numFmtId="0" fontId="141" fillId="3" borderId="4" xfId="2" applyFont="1" applyFill="1" applyBorder="1" applyAlignment="1">
      <alignment horizontal="center"/>
    </xf>
    <xf numFmtId="0" fontId="142" fillId="3" borderId="4" xfId="2" quotePrefix="1" applyFont="1" applyFill="1" applyBorder="1" applyAlignment="1">
      <alignment horizontal="left"/>
    </xf>
    <xf numFmtId="0" fontId="149" fillId="0" borderId="4" xfId="2" applyFont="1" applyBorder="1" applyAlignment="1">
      <alignment vertical="top"/>
    </xf>
    <xf numFmtId="0" fontId="148" fillId="0" borderId="4" xfId="2" applyFont="1" applyBorder="1" applyAlignment="1">
      <alignment horizontal="center"/>
    </xf>
    <xf numFmtId="0" fontId="146" fillId="0" borderId="4" xfId="2" applyFont="1" applyFill="1" applyBorder="1" applyAlignment="1">
      <alignment horizontal="left"/>
    </xf>
    <xf numFmtId="0" fontId="148" fillId="0" borderId="4" xfId="2" applyFont="1" applyBorder="1" applyAlignment="1">
      <alignment vertical="top" wrapText="1"/>
    </xf>
    <xf numFmtId="0" fontId="148" fillId="0" borderId="4" xfId="2" quotePrefix="1" applyFont="1" applyBorder="1" applyAlignment="1">
      <alignment horizontal="left" vertical="top" wrapText="1"/>
    </xf>
    <xf numFmtId="1" fontId="142" fillId="0" borderId="4" xfId="2" applyNumberFormat="1" applyFont="1" applyBorder="1" applyAlignment="1">
      <alignment horizontal="right"/>
    </xf>
    <xf numFmtId="2" fontId="142" fillId="0" borderId="4" xfId="2" applyNumberFormat="1" applyFont="1" applyBorder="1" applyAlignment="1">
      <alignment horizontal="right"/>
    </xf>
    <xf numFmtId="0" fontId="148" fillId="0" borderId="4" xfId="2" applyFont="1" applyBorder="1" applyAlignment="1">
      <alignment horizontal="left" vertical="top" wrapText="1"/>
    </xf>
    <xf numFmtId="0" fontId="142" fillId="0" borderId="4" xfId="2" applyFont="1" applyBorder="1" applyAlignment="1">
      <alignment horizontal="right"/>
    </xf>
    <xf numFmtId="0" fontId="141" fillId="0" borderId="0" xfId="2" applyFont="1" applyBorder="1"/>
    <xf numFmtId="0" fontId="141" fillId="0" borderId="0" xfId="2" applyFont="1" applyBorder="1" applyAlignment="1">
      <alignment horizontal="center"/>
    </xf>
    <xf numFmtId="0" fontId="141" fillId="0" borderId="0" xfId="2" applyFont="1" applyBorder="1" applyAlignment="1">
      <alignment horizontal="left"/>
    </xf>
    <xf numFmtId="0" fontId="9" fillId="0" borderId="0" xfId="0" applyFont="1" applyAlignment="1">
      <alignment vertical="top"/>
    </xf>
    <xf numFmtId="0" fontId="9" fillId="0" borderId="0" xfId="0" applyFont="1" applyAlignment="1">
      <alignment horizontal="left"/>
    </xf>
    <xf numFmtId="0" fontId="9" fillId="0" borderId="0" xfId="0" applyFont="1" applyAlignment="1">
      <alignment horizontal="left" vertical="top"/>
    </xf>
    <xf numFmtId="164" fontId="23" fillId="8" borderId="1" xfId="0" applyNumberFormat="1" applyFont="1" applyFill="1" applyBorder="1"/>
    <xf numFmtId="1" fontId="2" fillId="0" borderId="17" xfId="0" applyNumberFormat="1" applyFont="1" applyBorder="1"/>
    <xf numFmtId="0" fontId="65" fillId="0" borderId="1" xfId="0" applyFont="1" applyBorder="1" applyAlignment="1">
      <alignment horizontal="center" vertical="center" wrapText="1"/>
    </xf>
    <xf numFmtId="0" fontId="65" fillId="0" borderId="1" xfId="0" applyFont="1" applyBorder="1" applyAlignment="1">
      <alignment horizontal="center" vertical="center"/>
    </xf>
    <xf numFmtId="0" fontId="64" fillId="0" borderId="0" xfId="0" applyFont="1" applyAlignment="1">
      <alignment vertical="top"/>
    </xf>
    <xf numFmtId="0" fontId="150" fillId="0" borderId="43" xfId="0" applyFont="1" applyBorder="1" applyAlignment="1">
      <alignment horizontal="center" vertical="center" wrapText="1"/>
    </xf>
    <xf numFmtId="0" fontId="150" fillId="0" borderId="44" xfId="0" applyFont="1" applyBorder="1" applyAlignment="1">
      <alignment horizontal="center" vertical="center"/>
    </xf>
    <xf numFmtId="0" fontId="150" fillId="0" borderId="45" xfId="0" applyFont="1" applyBorder="1" applyAlignment="1">
      <alignment horizontal="center" vertical="center"/>
    </xf>
    <xf numFmtId="0" fontId="151" fillId="0" borderId="0" xfId="0" applyFont="1"/>
    <xf numFmtId="0" fontId="150" fillId="0" borderId="46" xfId="0" applyFont="1" applyBorder="1" applyAlignment="1">
      <alignment horizontal="center" vertical="top"/>
    </xf>
    <xf numFmtId="0" fontId="151" fillId="0" borderId="4" xfId="0" applyFont="1" applyBorder="1" applyAlignment="1">
      <alignment horizontal="justify" vertical="top" wrapText="1"/>
    </xf>
    <xf numFmtId="0" fontId="151" fillId="0" borderId="4" xfId="0" applyFont="1" applyBorder="1" applyAlignment="1">
      <alignment horizontal="center" vertical="top"/>
    </xf>
    <xf numFmtId="2" fontId="151" fillId="0" borderId="4" xfId="0" applyNumberFormat="1" applyFont="1" applyBorder="1" applyAlignment="1">
      <alignment vertical="top"/>
    </xf>
    <xf numFmtId="0" fontId="151" fillId="0" borderId="4" xfId="0" applyFont="1" applyBorder="1" applyAlignment="1">
      <alignment vertical="top"/>
    </xf>
    <xf numFmtId="4" fontId="151" fillId="0" borderId="4" xfId="0" applyNumberFormat="1" applyFont="1" applyBorder="1" applyAlignment="1">
      <alignment vertical="top"/>
    </xf>
    <xf numFmtId="0" fontId="151" fillId="0" borderId="4" xfId="0" applyFont="1" applyBorder="1" applyAlignment="1">
      <alignment vertical="top" wrapText="1"/>
    </xf>
    <xf numFmtId="0" fontId="151" fillId="0" borderId="4" xfId="0" applyFont="1" applyBorder="1" applyAlignment="1">
      <alignment horizontal="center"/>
    </xf>
    <xf numFmtId="2" fontId="151" fillId="0" borderId="4" xfId="0" applyNumberFormat="1" applyFont="1" applyBorder="1"/>
    <xf numFmtId="0" fontId="151" fillId="0" borderId="4" xfId="0" applyFont="1" applyBorder="1"/>
    <xf numFmtId="4" fontId="151" fillId="0" borderId="4" xfId="0" applyNumberFormat="1" applyFont="1" applyBorder="1"/>
    <xf numFmtId="0" fontId="152" fillId="0" borderId="4" xfId="0" applyFont="1" applyBorder="1" applyAlignment="1">
      <alignment vertical="top"/>
    </xf>
    <xf numFmtId="0" fontId="150" fillId="0" borderId="49" xfId="0" applyFont="1" applyBorder="1" applyAlignment="1">
      <alignment horizontal="center" vertical="top"/>
    </xf>
    <xf numFmtId="0" fontId="151" fillId="0" borderId="50" xfId="0" applyFont="1" applyBorder="1" applyAlignment="1">
      <alignment vertical="top"/>
    </xf>
    <xf numFmtId="0" fontId="151" fillId="0" borderId="50" xfId="0" applyFont="1" applyBorder="1" applyAlignment="1">
      <alignment horizontal="center" vertical="top"/>
    </xf>
    <xf numFmtId="2" fontId="151" fillId="0" borderId="50" xfId="0" applyNumberFormat="1" applyFont="1" applyBorder="1" applyAlignment="1">
      <alignment vertical="top"/>
    </xf>
    <xf numFmtId="4" fontId="151" fillId="0" borderId="50" xfId="0" applyNumberFormat="1" applyFont="1" applyBorder="1" applyAlignment="1">
      <alignment vertical="top"/>
    </xf>
    <xf numFmtId="0" fontId="151" fillId="0" borderId="3" xfId="0" applyFont="1" applyBorder="1" applyAlignment="1">
      <alignment vertical="top"/>
    </xf>
    <xf numFmtId="0" fontId="150" fillId="0" borderId="2" xfId="0" applyFont="1" applyBorder="1" applyAlignment="1">
      <alignment vertical="top"/>
    </xf>
    <xf numFmtId="0" fontId="151" fillId="0" borderId="2" xfId="0" applyFont="1" applyBorder="1" applyAlignment="1">
      <alignment horizontal="center" vertical="top"/>
    </xf>
    <xf numFmtId="0" fontId="151" fillId="0" borderId="2" xfId="0" applyFont="1" applyBorder="1" applyAlignment="1">
      <alignment vertical="top"/>
    </xf>
    <xf numFmtId="4" fontId="151" fillId="0" borderId="2" xfId="0" applyNumberFormat="1" applyFont="1" applyBorder="1" applyAlignment="1">
      <alignment vertical="top"/>
    </xf>
    <xf numFmtId="0" fontId="64" fillId="0" borderId="0" xfId="0" applyFont="1" applyAlignment="1">
      <alignment horizontal="center" vertical="top"/>
    </xf>
    <xf numFmtId="4" fontId="64" fillId="0" borderId="0" xfId="0" applyNumberFormat="1" applyFont="1"/>
    <xf numFmtId="0" fontId="64" fillId="16" borderId="0" xfId="0" applyFont="1" applyFill="1"/>
    <xf numFmtId="0" fontId="64" fillId="0" borderId="0" xfId="0" applyFont="1" applyBorder="1" applyAlignment="1">
      <alignment vertical="top"/>
    </xf>
    <xf numFmtId="4" fontId="64" fillId="0" borderId="0" xfId="0" applyNumberFormat="1" applyFont="1" applyBorder="1" applyAlignment="1">
      <alignment vertical="top"/>
    </xf>
    <xf numFmtId="0" fontId="150" fillId="0" borderId="3" xfId="0" applyFont="1" applyBorder="1" applyAlignment="1">
      <alignment horizontal="center" vertical="top"/>
    </xf>
    <xf numFmtId="2" fontId="151" fillId="0" borderId="2" xfId="0" applyNumberFormat="1" applyFont="1" applyBorder="1" applyAlignment="1">
      <alignment vertical="top"/>
    </xf>
    <xf numFmtId="0" fontId="65" fillId="0" borderId="43" xfId="0" applyFont="1" applyBorder="1" applyAlignment="1">
      <alignment horizontal="center"/>
    </xf>
    <xf numFmtId="0" fontId="65" fillId="0" borderId="44" xfId="0" applyFont="1" applyBorder="1" applyAlignment="1">
      <alignment horizontal="center"/>
    </xf>
    <xf numFmtId="0" fontId="65" fillId="0" borderId="45" xfId="0" applyFont="1" applyBorder="1" applyAlignment="1">
      <alignment horizontal="center"/>
    </xf>
    <xf numFmtId="0" fontId="65" fillId="0" borderId="0" xfId="0" applyFont="1" applyAlignment="1">
      <alignment horizontal="center" vertical="top"/>
    </xf>
    <xf numFmtId="0" fontId="65" fillId="0" borderId="43" xfId="0" applyFont="1" applyBorder="1" applyAlignment="1">
      <alignment vertical="center" wrapText="1"/>
    </xf>
    <xf numFmtId="0" fontId="65" fillId="0" borderId="44" xfId="0" applyFont="1" applyBorder="1" applyAlignment="1">
      <alignment vertical="center"/>
    </xf>
    <xf numFmtId="0" fontId="65" fillId="0" borderId="45" xfId="0" applyFont="1" applyBorder="1" applyAlignment="1">
      <alignment vertical="center"/>
    </xf>
    <xf numFmtId="0" fontId="151" fillId="0" borderId="0" xfId="0" applyFont="1" applyAlignment="1">
      <alignment vertical="top"/>
    </xf>
    <xf numFmtId="2" fontId="151" fillId="0" borderId="4" xfId="0" applyNumberFormat="1" applyFont="1" applyBorder="1" applyAlignment="1">
      <alignment vertical="top" wrapText="1"/>
    </xf>
    <xf numFmtId="0" fontId="150" fillId="0" borderId="3" xfId="0" applyFont="1" applyBorder="1" applyAlignment="1">
      <alignment horizontal="center" vertical="center"/>
    </xf>
    <xf numFmtId="0" fontId="150" fillId="0" borderId="2" xfId="0" applyFont="1" applyBorder="1" applyAlignment="1">
      <alignment vertical="center"/>
    </xf>
    <xf numFmtId="0" fontId="151" fillId="0" borderId="2" xfId="0" applyFont="1" applyBorder="1" applyAlignment="1">
      <alignment vertical="center"/>
    </xf>
    <xf numFmtId="2" fontId="151" fillId="0" borderId="2" xfId="0" applyNumberFormat="1" applyFont="1" applyBorder="1" applyAlignment="1">
      <alignment vertical="center"/>
    </xf>
    <xf numFmtId="4" fontId="151" fillId="0" borderId="2" xfId="0" applyNumberFormat="1" applyFont="1" applyBorder="1" applyAlignment="1">
      <alignment vertical="center"/>
    </xf>
    <xf numFmtId="0" fontId="151" fillId="0" borderId="0" xfId="0" applyFont="1" applyAlignment="1">
      <alignment vertical="center"/>
    </xf>
    <xf numFmtId="0" fontId="153" fillId="0" borderId="0" xfId="0" applyFont="1"/>
    <xf numFmtId="0" fontId="153" fillId="0" borderId="0" xfId="0" applyFont="1" applyAlignment="1">
      <alignment horizontal="center"/>
    </xf>
    <xf numFmtId="0" fontId="153" fillId="0" borderId="0" xfId="0" applyFont="1" applyAlignment="1">
      <alignment horizontal="right"/>
    </xf>
    <xf numFmtId="2" fontId="65"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wrapText="1"/>
    </xf>
    <xf numFmtId="4" fontId="65" fillId="0" borderId="1" xfId="0" quotePrefix="1" applyNumberFormat="1" applyFont="1" applyBorder="1" applyAlignment="1">
      <alignment horizontal="center" vertical="center" wrapText="1"/>
    </xf>
    <xf numFmtId="0" fontId="64" fillId="0" borderId="0" xfId="0" applyFont="1" applyAlignment="1">
      <alignment horizontal="center" vertical="center" wrapText="1"/>
    </xf>
    <xf numFmtId="0" fontId="65" fillId="0" borderId="43" xfId="0" applyFont="1" applyBorder="1" applyAlignment="1">
      <alignment vertical="top" wrapText="1"/>
    </xf>
    <xf numFmtId="0" fontId="65" fillId="0" borderId="44" xfId="0" applyFont="1" applyBorder="1" applyAlignment="1">
      <alignment vertical="top" wrapText="1"/>
    </xf>
    <xf numFmtId="2" fontId="65" fillId="0" borderId="44" xfId="0" applyNumberFormat="1" applyFont="1" applyBorder="1" applyAlignment="1">
      <alignment vertical="top" wrapText="1"/>
    </xf>
    <xf numFmtId="4" fontId="65" fillId="0" borderId="44" xfId="0" applyNumberFormat="1" applyFont="1" applyBorder="1" applyAlignment="1">
      <alignment vertical="top" wrapText="1"/>
    </xf>
    <xf numFmtId="4" fontId="65" fillId="0" borderId="45" xfId="0" quotePrefix="1" applyNumberFormat="1" applyFont="1" applyBorder="1" applyAlignment="1">
      <alignment horizontal="left" vertical="top" wrapText="1"/>
    </xf>
    <xf numFmtId="0" fontId="150" fillId="0" borderId="46" xfId="0" applyFont="1" applyBorder="1" applyAlignment="1">
      <alignment horizontal="center" vertical="top" wrapText="1"/>
    </xf>
    <xf numFmtId="4" fontId="151" fillId="0" borderId="4" xfId="0" applyNumberFormat="1" applyFont="1" applyBorder="1" applyAlignment="1">
      <alignment vertical="top" wrapText="1"/>
    </xf>
    <xf numFmtId="0" fontId="151" fillId="0" borderId="0" xfId="0" applyFont="1" applyAlignment="1">
      <alignment vertical="top" wrapText="1"/>
    </xf>
    <xf numFmtId="0" fontId="151" fillId="0" borderId="4" xfId="0" quotePrefix="1" applyFont="1" applyBorder="1" applyAlignment="1">
      <alignment horizontal="left" vertical="top" wrapText="1"/>
    </xf>
    <xf numFmtId="0" fontId="151" fillId="0" borderId="50" xfId="0" quotePrefix="1" applyFont="1" applyBorder="1" applyAlignment="1">
      <alignment horizontal="left" vertical="top"/>
    </xf>
    <xf numFmtId="2" fontId="64" fillId="0" borderId="0" xfId="0" applyNumberFormat="1" applyFont="1" applyAlignment="1">
      <alignment vertical="top"/>
    </xf>
    <xf numFmtId="4" fontId="64" fillId="0" borderId="0" xfId="0" applyNumberFormat="1" applyFont="1" applyAlignment="1">
      <alignment vertical="top"/>
    </xf>
    <xf numFmtId="0" fontId="142" fillId="0" borderId="0" xfId="0" applyFont="1"/>
    <xf numFmtId="0" fontId="141" fillId="0" borderId="0" xfId="0" applyFont="1" applyAlignment="1">
      <alignment horizontal="center" vertical="center" wrapText="1"/>
    </xf>
    <xf numFmtId="0" fontId="142" fillId="0" borderId="0" xfId="0" applyFont="1" applyAlignment="1">
      <alignment horizontal="center" vertical="center" wrapText="1"/>
    </xf>
    <xf numFmtId="0" fontId="141" fillId="0" borderId="1" xfId="0" applyFont="1" applyBorder="1" applyAlignment="1">
      <alignment horizontal="center" vertical="center" wrapText="1"/>
    </xf>
    <xf numFmtId="2" fontId="141" fillId="0" borderId="1" xfId="0" applyNumberFormat="1" applyFont="1" applyBorder="1" applyAlignment="1">
      <alignment horizontal="center" vertical="center" wrapText="1"/>
    </xf>
    <xf numFmtId="0" fontId="141" fillId="0" borderId="1" xfId="0" quotePrefix="1" applyFont="1" applyBorder="1" applyAlignment="1">
      <alignment horizontal="center" vertical="center" wrapText="1"/>
    </xf>
    <xf numFmtId="0" fontId="141" fillId="0" borderId="43" xfId="0" quotePrefix="1" applyFont="1" applyBorder="1" applyAlignment="1">
      <alignment horizontal="center" wrapText="1"/>
    </xf>
    <xf numFmtId="0" fontId="141" fillId="0" borderId="44" xfId="0" applyFont="1" applyBorder="1" applyAlignment="1">
      <alignment horizontal="center"/>
    </xf>
    <xf numFmtId="2" fontId="141" fillId="0" borderId="44" xfId="0" applyNumberFormat="1" applyFont="1" applyBorder="1" applyAlignment="1">
      <alignment horizontal="center"/>
    </xf>
    <xf numFmtId="0" fontId="141" fillId="0" borderId="45" xfId="0" quotePrefix="1" applyFont="1" applyBorder="1" applyAlignment="1">
      <alignment horizontal="center" wrapText="1"/>
    </xf>
    <xf numFmtId="0" fontId="142" fillId="0" borderId="0" xfId="0" applyFont="1" applyAlignment="1">
      <alignment horizontal="center"/>
    </xf>
    <xf numFmtId="0" fontId="151" fillId="0" borderId="4" xfId="0" applyFont="1" applyBorder="1" applyAlignment="1">
      <alignment horizontal="center" vertical="top" wrapText="1"/>
    </xf>
    <xf numFmtId="0" fontId="150" fillId="0" borderId="46" xfId="0" applyFont="1" applyBorder="1" applyAlignment="1">
      <alignment horizontal="right" vertical="top" wrapText="1"/>
    </xf>
    <xf numFmtId="0" fontId="155" fillId="0" borderId="4" xfId="0" applyFont="1" applyBorder="1" applyAlignment="1">
      <alignment vertical="top" wrapText="1"/>
    </xf>
    <xf numFmtId="0" fontId="155" fillId="0" borderId="4" xfId="0" applyFont="1" applyBorder="1" applyAlignment="1">
      <alignment horizontal="justify" vertical="top" wrapText="1"/>
    </xf>
    <xf numFmtId="0" fontId="150" fillId="0" borderId="49" xfId="0" applyFont="1" applyBorder="1" applyAlignment="1">
      <alignment horizontal="center"/>
    </xf>
    <xf numFmtId="0" fontId="151" fillId="0" borderId="50" xfId="0" applyFont="1" applyBorder="1"/>
    <xf numFmtId="0" fontId="151" fillId="0" borderId="50" xfId="0" applyFont="1" applyBorder="1" applyAlignment="1">
      <alignment horizontal="center"/>
    </xf>
    <xf numFmtId="2" fontId="151" fillId="0" borderId="50" xfId="0" applyNumberFormat="1" applyFont="1" applyBorder="1"/>
    <xf numFmtId="4" fontId="151" fillId="0" borderId="50" xfId="0" applyNumberFormat="1" applyFont="1" applyBorder="1"/>
    <xf numFmtId="2" fontId="151" fillId="0" borderId="0" xfId="0" applyNumberFormat="1" applyFont="1"/>
    <xf numFmtId="0" fontId="141" fillId="0" borderId="3" xfId="0" applyFont="1" applyBorder="1" applyAlignment="1">
      <alignment horizontal="center"/>
    </xf>
    <xf numFmtId="0" fontId="141" fillId="0" borderId="2" xfId="0" applyFont="1" applyBorder="1"/>
    <xf numFmtId="0" fontId="142" fillId="0" borderId="2" xfId="0" applyFont="1" applyBorder="1" applyAlignment="1">
      <alignment horizontal="center"/>
    </xf>
    <xf numFmtId="2" fontId="142" fillId="0" borderId="2" xfId="0" applyNumberFormat="1" applyFont="1" applyBorder="1"/>
    <xf numFmtId="0" fontId="142" fillId="0" borderId="2" xfId="0" applyFont="1" applyBorder="1"/>
    <xf numFmtId="4" fontId="142" fillId="0" borderId="2" xfId="0" applyNumberFormat="1" applyFont="1" applyBorder="1"/>
    <xf numFmtId="2" fontId="142" fillId="0" borderId="0" xfId="0" applyNumberFormat="1" applyFont="1"/>
    <xf numFmtId="0" fontId="0" fillId="5" borderId="0" xfId="0" applyFill="1"/>
    <xf numFmtId="3" fontId="151" fillId="0" borderId="47" xfId="0" applyNumberFormat="1" applyFont="1" applyBorder="1" applyAlignment="1">
      <alignment vertical="top"/>
    </xf>
    <xf numFmtId="3" fontId="151" fillId="0" borderId="47" xfId="0" applyNumberFormat="1" applyFont="1" applyBorder="1"/>
    <xf numFmtId="3" fontId="151" fillId="0" borderId="48" xfId="0" applyNumberFormat="1" applyFont="1" applyBorder="1" applyAlignment="1">
      <alignment vertical="top"/>
    </xf>
    <xf numFmtId="3" fontId="151" fillId="0" borderId="45" xfId="0" applyNumberFormat="1" applyFont="1" applyBorder="1" applyAlignment="1">
      <alignment vertical="top"/>
    </xf>
    <xf numFmtId="3" fontId="151" fillId="0" borderId="51" xfId="0" applyNumberFormat="1" applyFont="1" applyBorder="1" applyAlignment="1">
      <alignment vertical="top"/>
    </xf>
    <xf numFmtId="3" fontId="150" fillId="0" borderId="13" xfId="0" applyNumberFormat="1" applyFont="1" applyBorder="1" applyAlignment="1">
      <alignment vertical="top"/>
    </xf>
    <xf numFmtId="3" fontId="151" fillId="0" borderId="51" xfId="0" applyNumberFormat="1" applyFont="1" applyBorder="1"/>
    <xf numFmtId="3" fontId="150" fillId="0" borderId="13" xfId="0" applyNumberFormat="1" applyFont="1" applyBorder="1" applyAlignment="1">
      <alignment vertical="center"/>
    </xf>
    <xf numFmtId="3" fontId="151" fillId="0" borderId="47" xfId="0" applyNumberFormat="1" applyFont="1" applyBorder="1" applyAlignment="1">
      <alignment vertical="top" wrapText="1"/>
    </xf>
    <xf numFmtId="3" fontId="151" fillId="0" borderId="48" xfId="0" applyNumberFormat="1" applyFont="1" applyBorder="1" applyAlignment="1">
      <alignment vertical="top" wrapText="1"/>
    </xf>
    <xf numFmtId="3" fontId="150" fillId="0" borderId="13" xfId="0" applyNumberFormat="1" applyFont="1" applyBorder="1"/>
    <xf numFmtId="3" fontId="151" fillId="0" borderId="45" xfId="0" applyNumberFormat="1" applyFont="1" applyBorder="1" applyAlignment="1">
      <alignment vertical="top" wrapText="1"/>
    </xf>
    <xf numFmtId="3" fontId="151" fillId="0" borderId="51" xfId="0" applyNumberFormat="1" applyFont="1" applyBorder="1" applyAlignment="1"/>
    <xf numFmtId="3" fontId="141" fillId="0" borderId="13" xfId="0" applyNumberFormat="1" applyFont="1" applyBorder="1" applyAlignment="1"/>
    <xf numFmtId="3" fontId="142" fillId="0" borderId="0" xfId="0" applyNumberFormat="1" applyFont="1"/>
    <xf numFmtId="3" fontId="151" fillId="0" borderId="0" xfId="0" applyNumberFormat="1" applyFont="1" applyAlignment="1">
      <alignment vertical="top"/>
    </xf>
    <xf numFmtId="3" fontId="151" fillId="0" borderId="0" xfId="0" applyNumberFormat="1" applyFont="1" applyAlignment="1">
      <alignment vertical="center"/>
    </xf>
    <xf numFmtId="3" fontId="64" fillId="0" borderId="0" xfId="0" applyNumberFormat="1" applyFont="1"/>
    <xf numFmtId="0" fontId="3" fillId="26" borderId="1" xfId="0" applyFont="1" applyFill="1" applyBorder="1"/>
    <xf numFmtId="0" fontId="3" fillId="27" borderId="1" xfId="0" applyFont="1" applyFill="1" applyBorder="1"/>
    <xf numFmtId="0" fontId="46" fillId="27" borderId="1" xfId="0" applyFont="1" applyFill="1" applyBorder="1"/>
    <xf numFmtId="0" fontId="107" fillId="27" borderId="1" xfId="0" applyFont="1" applyFill="1" applyBorder="1"/>
    <xf numFmtId="0" fontId="3" fillId="27" borderId="1" xfId="0" applyFont="1" applyFill="1" applyBorder="1" applyAlignment="1">
      <alignment horizontal="left"/>
    </xf>
    <xf numFmtId="0" fontId="0" fillId="28" borderId="1" xfId="0" applyFill="1" applyBorder="1"/>
    <xf numFmtId="0" fontId="3" fillId="28" borderId="1" xfId="0" applyFont="1" applyFill="1" applyBorder="1"/>
    <xf numFmtId="0" fontId="0" fillId="24" borderId="1" xfId="0" applyFill="1" applyBorder="1" applyAlignment="1">
      <alignment horizontal="center"/>
    </xf>
    <xf numFmtId="2" fontId="0" fillId="24" borderId="1" xfId="0" applyNumberFormat="1" applyFill="1" applyBorder="1"/>
    <xf numFmtId="0" fontId="3" fillId="24" borderId="1" xfId="0" applyFont="1" applyFill="1" applyBorder="1"/>
    <xf numFmtId="0" fontId="3" fillId="24" borderId="0" xfId="0" applyFont="1" applyFill="1"/>
    <xf numFmtId="0" fontId="13" fillId="24" borderId="1" xfId="0" applyFont="1" applyFill="1" applyBorder="1"/>
    <xf numFmtId="1" fontId="64" fillId="24" borderId="1" xfId="0" applyNumberFormat="1" applyFont="1" applyFill="1" applyBorder="1"/>
    <xf numFmtId="2" fontId="127" fillId="29" borderId="1" xfId="0" applyNumberFormat="1" applyFont="1" applyFill="1" applyBorder="1" applyAlignment="1">
      <alignment horizontal="right"/>
    </xf>
    <xf numFmtId="0" fontId="3" fillId="0" borderId="0" xfId="0" applyFont="1" applyBorder="1" applyAlignment="1">
      <alignment horizontal="left" vertical="top"/>
    </xf>
    <xf numFmtId="0" fontId="3" fillId="25" borderId="1" xfId="0" applyFont="1" applyFill="1" applyBorder="1"/>
    <xf numFmtId="0" fontId="2" fillId="0" borderId="0" xfId="0" applyFont="1" applyBorder="1" applyAlignment="1">
      <alignment horizontal="left" vertical="top"/>
    </xf>
    <xf numFmtId="0" fontId="33" fillId="0" borderId="1" xfId="0" applyFont="1" applyFill="1" applyBorder="1" applyProtection="1">
      <protection hidden="1"/>
    </xf>
    <xf numFmtId="0" fontId="2" fillId="0" borderId="0" xfId="0" quotePrefix="1" applyFont="1" applyFill="1" applyAlignment="1">
      <alignment horizontal="left"/>
    </xf>
    <xf numFmtId="0" fontId="3" fillId="5" borderId="0" xfId="0" applyFont="1" applyFill="1"/>
    <xf numFmtId="2" fontId="53" fillId="25" borderId="1" xfId="0" applyNumberFormat="1" applyFont="1" applyFill="1" applyBorder="1" applyAlignment="1">
      <alignment horizontal="center"/>
    </xf>
    <xf numFmtId="2" fontId="3" fillId="25" borderId="1" xfId="0" applyNumberFormat="1" applyFont="1" applyFill="1" applyBorder="1"/>
    <xf numFmtId="2" fontId="4" fillId="25" borderId="1" xfId="0" applyNumberFormat="1" applyFont="1" applyFill="1" applyBorder="1"/>
    <xf numFmtId="169" fontId="3" fillId="0" borderId="0" xfId="0" applyNumberFormat="1" applyFont="1" applyProtection="1">
      <protection hidden="1"/>
    </xf>
    <xf numFmtId="0" fontId="0" fillId="30" borderId="0" xfId="0" applyFill="1" applyProtection="1">
      <protection locked="0"/>
    </xf>
    <xf numFmtId="2" fontId="0" fillId="25" borderId="0" xfId="0" quotePrefix="1" applyNumberFormat="1" applyFill="1" applyAlignment="1">
      <alignment horizontal="center"/>
    </xf>
    <xf numFmtId="0" fontId="156" fillId="0" borderId="0" xfId="0" applyFont="1" applyBorder="1" applyAlignment="1">
      <alignment vertical="top"/>
    </xf>
    <xf numFmtId="165" fontId="2" fillId="0" borderId="0" xfId="0" applyNumberFormat="1" applyFont="1" applyBorder="1" applyAlignment="1">
      <alignment vertical="top"/>
    </xf>
    <xf numFmtId="2" fontId="3" fillId="6" borderId="0" xfId="0" applyNumberFormat="1" applyFont="1" applyFill="1"/>
    <xf numFmtId="0" fontId="3" fillId="6" borderId="0" xfId="0" applyFont="1" applyFill="1"/>
    <xf numFmtId="177" fontId="2" fillId="19" borderId="1" xfId="0" applyNumberFormat="1" applyFont="1" applyFill="1" applyBorder="1" applyAlignment="1">
      <alignment horizontal="center"/>
    </xf>
    <xf numFmtId="177" fontId="3" fillId="0" borderId="0" xfId="0" applyNumberFormat="1" applyFont="1" applyFill="1"/>
    <xf numFmtId="177" fontId="3" fillId="3" borderId="0" xfId="0" applyNumberFormat="1" applyFont="1" applyFill="1"/>
    <xf numFmtId="177" fontId="3" fillId="0" borderId="0" xfId="0" applyNumberFormat="1" applyFont="1"/>
    <xf numFmtId="177" fontId="0" fillId="0" borderId="0" xfId="0" applyNumberFormat="1" applyFill="1" applyBorder="1" applyProtection="1">
      <protection hidden="1"/>
    </xf>
    <xf numFmtId="177" fontId="3" fillId="0" borderId="0" xfId="0" applyNumberFormat="1" applyFont="1" applyFill="1" applyBorder="1" applyProtection="1">
      <protection hidden="1"/>
    </xf>
    <xf numFmtId="177" fontId="3" fillId="0" borderId="0" xfId="0" applyNumberFormat="1" applyFont="1" applyBorder="1" applyProtection="1">
      <protection hidden="1"/>
    </xf>
    <xf numFmtId="177" fontId="0" fillId="0" borderId="0" xfId="0" applyNumberFormat="1" applyBorder="1" applyProtection="1">
      <protection hidden="1"/>
    </xf>
    <xf numFmtId="177" fontId="3" fillId="8" borderId="1" xfId="1" applyNumberFormat="1" applyFont="1" applyFill="1" applyBorder="1"/>
    <xf numFmtId="177" fontId="0" fillId="2" borderId="1" xfId="1" applyNumberFormat="1" applyFont="1" applyFill="1" applyBorder="1" applyAlignment="1">
      <alignment horizontal="center"/>
    </xf>
    <xf numFmtId="0" fontId="15" fillId="0" borderId="0" xfId="0" applyFont="1" applyAlignment="1">
      <alignment horizontal="center"/>
    </xf>
    <xf numFmtId="0" fontId="2" fillId="0" borderId="0" xfId="0" applyFont="1" applyAlignment="1">
      <alignment horizontal="center"/>
    </xf>
    <xf numFmtId="0" fontId="2" fillId="0" borderId="1" xfId="0" quotePrefix="1" applyFont="1" applyBorder="1" applyAlignment="1">
      <alignment horizontal="center" vertical="center" wrapText="1"/>
    </xf>
    <xf numFmtId="0" fontId="51" fillId="8" borderId="1" xfId="0" quotePrefix="1" applyFont="1" applyFill="1" applyBorder="1" applyAlignment="1">
      <alignment horizontal="center" vertical="center" wrapText="1"/>
    </xf>
    <xf numFmtId="0" fontId="2" fillId="0" borderId="1" xfId="0" applyFont="1" applyBorder="1" applyAlignment="1">
      <alignment horizontal="center" vertical="center" wrapText="1"/>
    </xf>
    <xf numFmtId="2" fontId="100" fillId="3" borderId="23" xfId="0" applyNumberFormat="1" applyFont="1" applyFill="1" applyBorder="1" applyAlignment="1">
      <alignment horizontal="right" wrapText="1"/>
    </xf>
    <xf numFmtId="0" fontId="39" fillId="5" borderId="0" xfId="0" applyFont="1" applyFill="1"/>
    <xf numFmtId="2" fontId="127" fillId="5" borderId="1" xfId="0" applyNumberFormat="1" applyFont="1" applyFill="1" applyBorder="1" applyAlignment="1">
      <alignment horizontal="right"/>
    </xf>
    <xf numFmtId="0" fontId="39" fillId="31" borderId="0" xfId="0" applyFont="1" applyFill="1"/>
    <xf numFmtId="2" fontId="123" fillId="0" borderId="0" xfId="0" applyNumberFormat="1" applyFont="1" applyBorder="1" applyAlignment="1" applyProtection="1">
      <alignment horizontal="right"/>
      <protection hidden="1"/>
    </xf>
    <xf numFmtId="2" fontId="123" fillId="0" borderId="0" xfId="0" applyNumberFormat="1" applyFont="1" applyBorder="1" applyProtection="1">
      <protection hidden="1"/>
    </xf>
    <xf numFmtId="2" fontId="3" fillId="0" borderId="14" xfId="0" applyNumberFormat="1" applyFont="1" applyBorder="1" applyProtection="1">
      <protection hidden="1"/>
    </xf>
    <xf numFmtId="2" fontId="3" fillId="0" borderId="16" xfId="0" applyNumberFormat="1" applyFont="1" applyBorder="1" applyProtection="1">
      <protection hidden="1"/>
    </xf>
    <xf numFmtId="0" fontId="3" fillId="2" borderId="0" xfId="0" applyFont="1" applyFill="1" applyBorder="1" applyAlignment="1">
      <alignment vertical="top"/>
    </xf>
    <xf numFmtId="4" fontId="3" fillId="0" borderId="0" xfId="0" applyNumberFormat="1" applyFont="1"/>
    <xf numFmtId="0" fontId="39" fillId="32" borderId="0" xfId="0" applyFont="1" applyFill="1"/>
    <xf numFmtId="0" fontId="0" fillId="32" borderId="0" xfId="0" applyFill="1" applyProtection="1">
      <protection locked="0"/>
    </xf>
    <xf numFmtId="2" fontId="4" fillId="27" borderId="1" xfId="0" applyNumberFormat="1" applyFont="1" applyFill="1" applyBorder="1"/>
    <xf numFmtId="0" fontId="3" fillId="0" borderId="0" xfId="0" applyFont="1" applyAlignment="1">
      <alignment horizontal="center"/>
    </xf>
    <xf numFmtId="2" fontId="3" fillId="5" borderId="1" xfId="0" applyNumberFormat="1" applyFont="1" applyFill="1" applyBorder="1"/>
    <xf numFmtId="0" fontId="3" fillId="5" borderId="1" xfId="0" applyFont="1" applyFill="1" applyBorder="1"/>
    <xf numFmtId="177" fontId="3" fillId="5" borderId="1" xfId="0" applyNumberFormat="1" applyFont="1" applyFill="1" applyBorder="1"/>
    <xf numFmtId="2" fontId="3" fillId="5" borderId="0" xfId="0" applyNumberFormat="1" applyFont="1" applyFill="1"/>
    <xf numFmtId="2" fontId="2" fillId="22" borderId="0" xfId="0" applyNumberFormat="1" applyFont="1" applyFill="1"/>
    <xf numFmtId="177" fontId="3" fillId="5" borderId="0" xfId="0" applyNumberFormat="1" applyFont="1" applyFill="1"/>
    <xf numFmtId="169" fontId="3" fillId="5" borderId="0" xfId="0" applyNumberFormat="1" applyFont="1" applyFill="1"/>
    <xf numFmtId="0" fontId="3" fillId="0" borderId="0" xfId="0" applyFont="1" applyAlignment="1">
      <alignment horizontal="center"/>
    </xf>
    <xf numFmtId="0" fontId="34" fillId="5" borderId="0" xfId="0" applyFont="1" applyFill="1"/>
    <xf numFmtId="164" fontId="3" fillId="5" borderId="1" xfId="0" applyNumberFormat="1" applyFont="1" applyFill="1" applyBorder="1"/>
    <xf numFmtId="0" fontId="3" fillId="5" borderId="0" xfId="0" applyFont="1" applyFill="1" applyAlignment="1">
      <alignment horizontal="right"/>
    </xf>
    <xf numFmtId="0" fontId="3" fillId="5" borderId="0" xfId="0" quotePrefix="1" applyFont="1" applyFill="1" applyAlignment="1">
      <alignment horizontal="center"/>
    </xf>
    <xf numFmtId="0" fontId="3" fillId="5" borderId="0" xfId="0" quotePrefix="1" applyFont="1" applyFill="1" applyAlignment="1">
      <alignment horizontal="left"/>
    </xf>
    <xf numFmtId="2" fontId="3" fillId="5" borderId="0" xfId="0" quotePrefix="1" applyNumberFormat="1" applyFont="1" applyFill="1" applyAlignment="1">
      <alignment horizontal="left"/>
    </xf>
    <xf numFmtId="9" fontId="3" fillId="5" borderId="0" xfId="0" applyNumberFormat="1" applyFont="1" applyFill="1"/>
    <xf numFmtId="0" fontId="3" fillId="5" borderId="0" xfId="0" applyFont="1" applyFill="1" applyAlignment="1">
      <alignment horizontal="left"/>
    </xf>
    <xf numFmtId="2" fontId="2" fillId="5" borderId="0" xfId="0" quotePrefix="1" applyNumberFormat="1" applyFont="1" applyFill="1" applyAlignment="1">
      <alignment horizontal="left"/>
    </xf>
    <xf numFmtId="2" fontId="2" fillId="5" borderId="2" xfId="0" applyNumberFormat="1" applyFont="1" applyFill="1" applyBorder="1" applyAlignment="1">
      <alignment horizontal="right"/>
    </xf>
    <xf numFmtId="2" fontId="2" fillId="5" borderId="0" xfId="0" applyNumberFormat="1" applyFont="1" applyFill="1"/>
    <xf numFmtId="2" fontId="3" fillId="5" borderId="2" xfId="0" applyNumberFormat="1" applyFont="1" applyFill="1" applyBorder="1"/>
    <xf numFmtId="2" fontId="3" fillId="5" borderId="0" xfId="0" applyNumberFormat="1" applyFont="1" applyFill="1" applyBorder="1"/>
    <xf numFmtId="0" fontId="3" fillId="5" borderId="0" xfId="0" applyFont="1" applyFill="1" applyAlignment="1">
      <alignment horizontal="center"/>
    </xf>
    <xf numFmtId="1" fontId="2" fillId="5" borderId="1" xfId="0" applyNumberFormat="1" applyFont="1" applyFill="1" applyBorder="1"/>
    <xf numFmtId="0" fontId="3" fillId="5" borderId="0" xfId="0" applyFont="1" applyFill="1" applyBorder="1" applyAlignment="1">
      <alignment horizontal="center"/>
    </xf>
    <xf numFmtId="2" fontId="4" fillId="5" borderId="0" xfId="0" applyNumberFormat="1" applyFont="1" applyFill="1"/>
    <xf numFmtId="0" fontId="3" fillId="5" borderId="0" xfId="0" quotePrefix="1" applyFont="1" applyFill="1" applyAlignment="1">
      <alignment vertical="top"/>
    </xf>
    <xf numFmtId="0" fontId="3" fillId="5" borderId="0" xfId="0" quotePrefix="1" applyFont="1" applyFill="1" applyBorder="1" applyAlignment="1">
      <alignment vertical="top" wrapText="1"/>
    </xf>
    <xf numFmtId="0" fontId="3" fillId="5" borderId="0" xfId="0" quotePrefix="1" applyFont="1" applyFill="1" applyAlignment="1">
      <alignment horizontal="left" vertical="top"/>
    </xf>
    <xf numFmtId="2" fontId="4" fillId="5" borderId="0" xfId="0" applyNumberFormat="1" applyFont="1" applyFill="1" applyAlignment="1">
      <alignment vertical="top" wrapText="1"/>
    </xf>
    <xf numFmtId="2" fontId="2" fillId="5" borderId="18" xfId="0" applyNumberFormat="1" applyFont="1" applyFill="1" applyBorder="1"/>
    <xf numFmtId="0" fontId="3" fillId="5" borderId="0" xfId="0" applyFont="1" applyFill="1" applyBorder="1"/>
    <xf numFmtId="2" fontId="2" fillId="5" borderId="0" xfId="0" applyNumberFormat="1" applyFont="1" applyFill="1" applyBorder="1"/>
    <xf numFmtId="0" fontId="34" fillId="5" borderId="0" xfId="0" applyFont="1" applyFill="1" applyAlignment="1">
      <alignment vertical="top"/>
    </xf>
    <xf numFmtId="0" fontId="3" fillId="5" borderId="1" xfId="0" applyFont="1" applyFill="1" applyBorder="1" applyAlignment="1">
      <alignment horizontal="center"/>
    </xf>
    <xf numFmtId="0" fontId="3" fillId="5" borderId="0" xfId="0" applyFont="1" applyFill="1" applyAlignment="1">
      <alignment horizontal="justify" vertical="justify" wrapText="1"/>
    </xf>
    <xf numFmtId="2" fontId="3" fillId="5" borderId="1" xfId="0" applyNumberFormat="1" applyFont="1" applyFill="1" applyBorder="1" applyAlignment="1">
      <alignment horizontal="center"/>
    </xf>
    <xf numFmtId="2" fontId="3" fillId="5" borderId="0" xfId="0" applyNumberFormat="1" applyFont="1" applyFill="1" applyAlignment="1">
      <alignment horizontal="center"/>
    </xf>
    <xf numFmtId="0" fontId="106" fillId="15" borderId="1" xfId="0" applyFont="1" applyFill="1" applyBorder="1" applyAlignment="1">
      <alignment horizontal="center"/>
    </xf>
    <xf numFmtId="0" fontId="3" fillId="3" borderId="1" xfId="0" applyFont="1" applyFill="1" applyBorder="1" applyAlignment="1">
      <alignment horizontal="left"/>
    </xf>
    <xf numFmtId="0" fontId="9" fillId="3" borderId="1" xfId="0" applyFont="1" applyFill="1" applyBorder="1" applyAlignment="1">
      <alignment horizontal="center"/>
    </xf>
    <xf numFmtId="0" fontId="9" fillId="0" borderId="0" xfId="0" applyFont="1" applyAlignment="1">
      <alignment horizontal="center"/>
    </xf>
    <xf numFmtId="0" fontId="9" fillId="0" borderId="11" xfId="0" applyFont="1" applyBorder="1" applyAlignment="1"/>
    <xf numFmtId="0" fontId="9" fillId="0" borderId="1" xfId="0" applyFont="1" applyBorder="1" applyAlignment="1">
      <alignment horizontal="center"/>
    </xf>
    <xf numFmtId="0" fontId="9" fillId="14" borderId="1" xfId="0" applyFont="1" applyFill="1" applyBorder="1" applyAlignment="1">
      <alignment horizontal="center"/>
    </xf>
    <xf numFmtId="0" fontId="80" fillId="9" borderId="1" xfId="0" applyFont="1" applyFill="1" applyBorder="1" applyAlignment="1">
      <alignment horizontal="left"/>
    </xf>
    <xf numFmtId="0" fontId="19" fillId="2" borderId="1" xfId="0" applyFont="1" applyFill="1" applyBorder="1" applyAlignment="1">
      <alignment horizontal="center"/>
    </xf>
    <xf numFmtId="0" fontId="0" fillId="2" borderId="3" xfId="0" applyFill="1" applyBorder="1" applyAlignment="1">
      <alignment horizontal="center"/>
    </xf>
    <xf numFmtId="0" fontId="0" fillId="2" borderId="2" xfId="0" applyFill="1" applyBorder="1" applyAlignment="1">
      <alignment horizontal="center"/>
    </xf>
    <xf numFmtId="0" fontId="0" fillId="2" borderId="13" xfId="0" applyFill="1" applyBorder="1" applyAlignment="1">
      <alignment horizontal="center"/>
    </xf>
    <xf numFmtId="0" fontId="8" fillId="10" borderId="3" xfId="0" applyFont="1" applyFill="1" applyBorder="1" applyAlignment="1">
      <alignment horizontal="center"/>
    </xf>
    <xf numFmtId="0" fontId="8" fillId="10" borderId="2" xfId="0" applyFont="1" applyFill="1" applyBorder="1" applyAlignment="1">
      <alignment horizontal="center"/>
    </xf>
    <xf numFmtId="0" fontId="8" fillId="10" borderId="13" xfId="0" applyFont="1" applyFill="1" applyBorder="1" applyAlignment="1">
      <alignment horizontal="center"/>
    </xf>
    <xf numFmtId="0" fontId="21" fillId="0" borderId="1" xfId="0" applyFont="1" applyBorder="1" applyAlignment="1">
      <alignment horizontal="center"/>
    </xf>
    <xf numFmtId="49" fontId="9" fillId="10" borderId="14" xfId="0" applyNumberFormat="1" applyFont="1" applyFill="1" applyBorder="1" applyAlignment="1">
      <alignment horizontal="center" vertical="center" textRotation="90"/>
    </xf>
    <xf numFmtId="49" fontId="9" fillId="10" borderId="15" xfId="0" applyNumberFormat="1" applyFont="1" applyFill="1" applyBorder="1" applyAlignment="1">
      <alignment horizontal="center" vertical="center" textRotation="90"/>
    </xf>
    <xf numFmtId="49" fontId="9" fillId="10" borderId="16" xfId="0" applyNumberFormat="1" applyFont="1" applyFill="1" applyBorder="1" applyAlignment="1">
      <alignment horizontal="center" vertical="center" textRotation="90"/>
    </xf>
    <xf numFmtId="0" fontId="39" fillId="11" borderId="1" xfId="0" applyFont="1" applyFill="1" applyBorder="1" applyAlignment="1">
      <alignment horizontal="justify" vertical="center"/>
    </xf>
    <xf numFmtId="0" fontId="39" fillId="0" borderId="1" xfId="0" applyFont="1" applyBorder="1" applyAlignment="1">
      <alignment horizontal="left"/>
    </xf>
    <xf numFmtId="0" fontId="62" fillId="0" borderId="0" xfId="0" quotePrefix="1" applyFont="1" applyAlignment="1">
      <alignment horizontal="center"/>
    </xf>
    <xf numFmtId="0" fontId="62" fillId="0" borderId="0" xfId="0" applyFont="1" applyAlignment="1">
      <alignment horizontal="center"/>
    </xf>
    <xf numFmtId="0" fontId="39" fillId="0" borderId="0" xfId="0" applyFont="1" applyAlignment="1">
      <alignment horizontal="center"/>
    </xf>
    <xf numFmtId="0" fontId="62" fillId="0" borderId="0" xfId="0" quotePrefix="1" applyFont="1" applyAlignment="1">
      <alignment horizontal="center" vertical="center" wrapText="1"/>
    </xf>
    <xf numFmtId="0" fontId="62" fillId="0" borderId="0" xfId="0" applyFont="1" applyAlignment="1">
      <alignment horizontal="center" vertical="center" wrapText="1"/>
    </xf>
    <xf numFmtId="0" fontId="79" fillId="8" borderId="3" xfId="0" applyFont="1" applyFill="1" applyBorder="1" applyAlignment="1">
      <alignment horizontal="center"/>
    </xf>
    <xf numFmtId="0" fontId="79" fillId="8" borderId="13" xfId="0" applyFont="1" applyFill="1" applyBorder="1" applyAlignment="1">
      <alignment horizontal="center"/>
    </xf>
    <xf numFmtId="0" fontId="13" fillId="0" borderId="0" xfId="0" applyFont="1" applyBorder="1" applyAlignment="1">
      <alignment horizontal="left" vertical="top" wrapText="1"/>
    </xf>
    <xf numFmtId="0" fontId="3" fillId="0" borderId="3" xfId="0" applyFont="1" applyFill="1" applyBorder="1" applyAlignment="1">
      <alignment horizontal="left"/>
    </xf>
    <xf numFmtId="0" fontId="3" fillId="0" borderId="13" xfId="0" applyFont="1" applyFill="1" applyBorder="1" applyAlignment="1">
      <alignment horizontal="left"/>
    </xf>
    <xf numFmtId="0" fontId="33" fillId="0" borderId="5" xfId="0" applyFont="1" applyBorder="1" applyAlignment="1">
      <alignment horizontal="center" wrapText="1"/>
    </xf>
    <xf numFmtId="0" fontId="33" fillId="0" borderId="8" xfId="0" applyFont="1" applyBorder="1" applyAlignment="1">
      <alignment horizontal="center" wrapText="1"/>
    </xf>
    <xf numFmtId="0" fontId="122" fillId="0" borderId="0" xfId="0" applyFont="1" applyAlignment="1" applyProtection="1">
      <alignment horizontal="left"/>
      <protection hidden="1"/>
    </xf>
    <xf numFmtId="0" fontId="76" fillId="8" borderId="1" xfId="0" applyFont="1" applyFill="1" applyBorder="1" applyAlignment="1">
      <alignment horizontal="center"/>
    </xf>
    <xf numFmtId="0" fontId="56" fillId="0" borderId="0" xfId="0" applyFont="1" applyFill="1" applyAlignment="1" applyProtection="1">
      <alignment horizontal="left" wrapText="1"/>
      <protection hidden="1"/>
    </xf>
    <xf numFmtId="0" fontId="33" fillId="0" borderId="14" xfId="0" applyFont="1" applyFill="1" applyBorder="1" applyAlignment="1" applyProtection="1">
      <alignment horizontal="center" vertical="top" wrapText="1"/>
      <protection hidden="1"/>
    </xf>
    <xf numFmtId="0" fontId="33" fillId="0" borderId="15" xfId="0" applyFont="1" applyFill="1" applyBorder="1" applyAlignment="1" applyProtection="1">
      <alignment horizontal="center" vertical="top" wrapText="1"/>
      <protection hidden="1"/>
    </xf>
    <xf numFmtId="0" fontId="33" fillId="0" borderId="16" xfId="0" applyFont="1" applyFill="1" applyBorder="1" applyAlignment="1" applyProtection="1">
      <alignment horizontal="center" vertical="top" wrapText="1"/>
      <protection hidden="1"/>
    </xf>
    <xf numFmtId="0" fontId="34" fillId="9" borderId="3" xfId="0" applyFont="1" applyFill="1" applyBorder="1" applyAlignment="1">
      <alignment horizontal="center"/>
    </xf>
    <xf numFmtId="0" fontId="34" fillId="9" borderId="13" xfId="0" applyFont="1" applyFill="1" applyBorder="1" applyAlignment="1">
      <alignment horizontal="center"/>
    </xf>
    <xf numFmtId="0" fontId="33" fillId="0" borderId="14" xfId="0" applyFont="1" applyFill="1" applyBorder="1" applyAlignment="1" applyProtection="1">
      <alignment horizontal="center" wrapText="1"/>
      <protection hidden="1"/>
    </xf>
    <xf numFmtId="0" fontId="33" fillId="0" borderId="15" xfId="0" applyFont="1" applyFill="1" applyBorder="1" applyAlignment="1" applyProtection="1">
      <alignment horizontal="center" wrapText="1"/>
      <protection hidden="1"/>
    </xf>
    <xf numFmtId="0" fontId="33" fillId="0" borderId="16" xfId="0" applyFont="1" applyFill="1" applyBorder="1" applyAlignment="1" applyProtection="1">
      <alignment horizontal="center" wrapText="1"/>
      <protection hidden="1"/>
    </xf>
    <xf numFmtId="0" fontId="56" fillId="0" borderId="0" xfId="0" applyFont="1" applyAlignment="1" applyProtection="1">
      <alignment horizontal="left" wrapText="1"/>
      <protection hidden="1"/>
    </xf>
    <xf numFmtId="0" fontId="5" fillId="0" borderId="14" xfId="0" applyFont="1" applyFill="1" applyBorder="1" applyAlignment="1" applyProtection="1">
      <alignment horizontal="center" vertical="top" wrapText="1"/>
      <protection hidden="1"/>
    </xf>
    <xf numFmtId="0" fontId="5" fillId="0" borderId="15" xfId="0" applyFont="1" applyFill="1" applyBorder="1" applyAlignment="1" applyProtection="1">
      <alignment horizontal="center" vertical="top" wrapText="1"/>
      <protection hidden="1"/>
    </xf>
    <xf numFmtId="0" fontId="5" fillId="0" borderId="16" xfId="0" applyFont="1" applyFill="1" applyBorder="1" applyAlignment="1" applyProtection="1">
      <alignment horizontal="center" vertical="top" wrapText="1"/>
      <protection hidden="1"/>
    </xf>
    <xf numFmtId="0" fontId="122" fillId="0" borderId="0" xfId="0" applyFont="1" applyFill="1" applyAlignment="1" applyProtection="1">
      <alignment horizontal="left"/>
      <protection hidden="1"/>
    </xf>
    <xf numFmtId="0" fontId="2" fillId="0" borderId="0" xfId="0" applyFont="1" applyAlignment="1">
      <alignment horizontal="left" vertical="top" wrapText="1"/>
    </xf>
    <xf numFmtId="0" fontId="33" fillId="0" borderId="14" xfId="0" applyFont="1" applyBorder="1" applyAlignment="1">
      <alignment horizontal="center" wrapText="1"/>
    </xf>
    <xf numFmtId="0" fontId="33" fillId="0" borderId="15" xfId="0" applyFont="1" applyBorder="1" applyAlignment="1">
      <alignment horizontal="center" wrapText="1"/>
    </xf>
    <xf numFmtId="0" fontId="33" fillId="0" borderId="16" xfId="0" applyFont="1" applyBorder="1" applyAlignment="1">
      <alignment horizontal="center" wrapText="1"/>
    </xf>
    <xf numFmtId="0" fontId="3" fillId="0" borderId="0" xfId="0" quotePrefix="1" applyFont="1" applyAlignment="1">
      <alignment horizontal="left" wrapText="1"/>
    </xf>
    <xf numFmtId="0" fontId="3" fillId="5" borderId="0" xfId="0" quotePrefix="1" applyFont="1" applyFill="1" applyAlignment="1">
      <alignment horizontal="left" wrapText="1"/>
    </xf>
    <xf numFmtId="0" fontId="2" fillId="5" borderId="0" xfId="0" applyFont="1" applyFill="1" applyAlignment="1">
      <alignment horizontal="left" vertical="top" wrapText="1"/>
    </xf>
    <xf numFmtId="0" fontId="3" fillId="5" borderId="0" xfId="0" applyFont="1" applyFill="1" applyAlignment="1">
      <alignment horizontal="justify" vertical="justify" wrapText="1"/>
    </xf>
    <xf numFmtId="0" fontId="3" fillId="0" borderId="0" xfId="0" applyFont="1" applyAlignment="1">
      <alignment horizontal="justify" vertical="justify" wrapText="1"/>
    </xf>
    <xf numFmtId="0" fontId="118" fillId="0" borderId="0" xfId="0" applyFont="1" applyFill="1" applyAlignment="1">
      <alignment horizontal="left" vertical="top" wrapText="1"/>
    </xf>
    <xf numFmtId="0" fontId="3" fillId="0" borderId="0" xfId="0" applyFont="1" applyAlignment="1">
      <alignment vertical="top" wrapText="1"/>
    </xf>
    <xf numFmtId="0" fontId="3" fillId="0" borderId="0" xfId="0" applyFont="1" applyAlignment="1">
      <alignment horizontal="center" wrapText="1"/>
    </xf>
    <xf numFmtId="0" fontId="3" fillId="0" borderId="0" xfId="0" applyFont="1" applyFill="1" applyAlignment="1">
      <alignment horizontal="justify" vertical="justify" wrapText="1"/>
    </xf>
    <xf numFmtId="0" fontId="2" fillId="3" borderId="0" xfId="0" applyFont="1" applyFill="1" applyAlignment="1">
      <alignment horizontal="justify" vertical="justify" wrapText="1"/>
    </xf>
    <xf numFmtId="0" fontId="3" fillId="16" borderId="0" xfId="0" applyFont="1" applyFill="1" applyBorder="1" applyAlignment="1">
      <alignment vertical="top" wrapText="1"/>
    </xf>
    <xf numFmtId="0" fontId="3" fillId="16" borderId="0" xfId="0" applyFont="1" applyFill="1" applyAlignment="1">
      <alignment vertical="top" wrapText="1"/>
    </xf>
    <xf numFmtId="0" fontId="34" fillId="0" borderId="3" xfId="0" applyFont="1" applyBorder="1" applyAlignment="1">
      <alignment horizontal="left"/>
    </xf>
    <xf numFmtId="0" fontId="34" fillId="0" borderId="13" xfId="0" applyFont="1" applyBorder="1" applyAlignment="1">
      <alignment horizontal="left"/>
    </xf>
    <xf numFmtId="0" fontId="34" fillId="0" borderId="8" xfId="0" applyFont="1" applyBorder="1" applyAlignment="1">
      <alignment horizontal="center"/>
    </xf>
    <xf numFmtId="0" fontId="34" fillId="0" borderId="0" xfId="0" applyFont="1" applyAlignment="1">
      <alignment horizontal="center"/>
    </xf>
    <xf numFmtId="0" fontId="104" fillId="10" borderId="1" xfId="0" applyFont="1" applyFill="1" applyBorder="1" applyAlignment="1">
      <alignment horizontal="center"/>
    </xf>
    <xf numFmtId="0" fontId="46" fillId="0" borderId="8" xfId="0" applyNumberFormat="1" applyFont="1" applyBorder="1" applyAlignment="1">
      <alignment horizontal="left" vertical="top" wrapText="1"/>
    </xf>
    <xf numFmtId="0" fontId="46" fillId="0" borderId="0" xfId="0" applyNumberFormat="1" applyFont="1" applyBorder="1" applyAlignment="1">
      <alignment horizontal="left" vertical="top" wrapText="1"/>
    </xf>
    <xf numFmtId="0" fontId="143" fillId="0" borderId="34" xfId="2" applyFont="1" applyBorder="1" applyAlignment="1">
      <alignment horizontal="center" vertical="top"/>
    </xf>
    <xf numFmtId="0" fontId="143" fillId="0" borderId="32" xfId="2" applyFont="1" applyBorder="1" applyAlignment="1">
      <alignment horizontal="center" vertical="top"/>
    </xf>
    <xf numFmtId="0" fontId="144" fillId="0" borderId="35" xfId="2" applyFont="1" applyBorder="1" applyAlignment="1">
      <alignment horizontal="center" vertical="top" wrapText="1"/>
    </xf>
    <xf numFmtId="0" fontId="13" fillId="0" borderId="36" xfId="2" applyBorder="1" applyAlignment="1">
      <alignment horizontal="center" vertical="top" wrapText="1"/>
    </xf>
    <xf numFmtId="1" fontId="145" fillId="5" borderId="37" xfId="2" applyNumberFormat="1" applyFont="1" applyFill="1" applyBorder="1" applyAlignment="1">
      <alignment horizontal="left" vertical="top"/>
    </xf>
    <xf numFmtId="1" fontId="145" fillId="5" borderId="38" xfId="2" applyNumberFormat="1" applyFont="1" applyFill="1" applyBorder="1" applyAlignment="1">
      <alignment horizontal="left" vertical="top"/>
    </xf>
    <xf numFmtId="0" fontId="142" fillId="8" borderId="40" xfId="2" quotePrefix="1" applyFont="1" applyFill="1" applyBorder="1" applyAlignment="1">
      <alignment horizontal="left" wrapText="1"/>
    </xf>
    <xf numFmtId="0" fontId="142" fillId="8" borderId="41" xfId="2" applyFont="1" applyFill="1" applyBorder="1" applyAlignment="1">
      <alignment wrapText="1"/>
    </xf>
    <xf numFmtId="0" fontId="142" fillId="8" borderId="42" xfId="2" applyFont="1" applyFill="1" applyBorder="1" applyAlignment="1">
      <alignment wrapText="1"/>
    </xf>
    <xf numFmtId="0" fontId="142" fillId="3" borderId="40" xfId="2" quotePrefix="1" applyFont="1" applyFill="1" applyBorder="1" applyAlignment="1">
      <alignment horizontal="left" wrapText="1"/>
    </xf>
    <xf numFmtId="0" fontId="142" fillId="3" borderId="41" xfId="2" applyFont="1" applyFill="1" applyBorder="1" applyAlignment="1">
      <alignment wrapText="1"/>
    </xf>
    <xf numFmtId="0" fontId="142" fillId="3" borderId="42" xfId="2" applyFont="1" applyFill="1" applyBorder="1" applyAlignment="1">
      <alignment wrapText="1"/>
    </xf>
    <xf numFmtId="0" fontId="2" fillId="0" borderId="0" xfId="0" applyFont="1" applyAlignment="1" applyProtection="1">
      <alignment horizontal="left"/>
      <protection locked="0"/>
    </xf>
    <xf numFmtId="0" fontId="7" fillId="0" borderId="0" xfId="0" applyFont="1" applyBorder="1" applyAlignment="1" applyProtection="1">
      <alignment horizontal="center" vertical="center"/>
      <protection locked="0"/>
    </xf>
    <xf numFmtId="0" fontId="2" fillId="0" borderId="0" xfId="0" applyFont="1" applyAlignment="1" applyProtection="1">
      <alignment wrapText="1"/>
      <protection locked="0"/>
    </xf>
    <xf numFmtId="0" fontId="3" fillId="0" borderId="0" xfId="0" applyFont="1" applyBorder="1" applyAlignment="1">
      <alignment horizontal="justify" vertical="justify"/>
    </xf>
    <xf numFmtId="0" fontId="3" fillId="0" borderId="0" xfId="0" quotePrefix="1" applyFont="1" applyBorder="1" applyAlignment="1">
      <alignment horizontal="justify" vertical="justify"/>
    </xf>
    <xf numFmtId="0" fontId="2" fillId="0" borderId="0" xfId="0" applyFont="1" applyBorder="1" applyAlignment="1">
      <alignment horizontal="justify" vertical="justify"/>
    </xf>
    <xf numFmtId="0" fontId="2" fillId="0" borderId="1" xfId="0" applyFont="1" applyBorder="1" applyAlignment="1">
      <alignment horizontal="center"/>
    </xf>
    <xf numFmtId="0" fontId="2" fillId="0" borderId="1" xfId="0" quotePrefix="1" applyFont="1" applyBorder="1" applyAlignment="1">
      <alignment horizontal="center"/>
    </xf>
    <xf numFmtId="0" fontId="21" fillId="0" borderId="0" xfId="0" applyFont="1" applyAlignment="1">
      <alignment horizontal="center"/>
    </xf>
    <xf numFmtId="0" fontId="3" fillId="0" borderId="0" xfId="0" applyFont="1" applyBorder="1" applyAlignment="1">
      <alignment horizontal="justify" vertical="top"/>
    </xf>
    <xf numFmtId="0" fontId="3" fillId="0" borderId="0" xfId="0" quotePrefix="1" applyFont="1" applyBorder="1" applyAlignment="1">
      <alignment horizontal="justify" vertical="top"/>
    </xf>
    <xf numFmtId="0" fontId="3" fillId="0" borderId="0" xfId="0" applyFont="1" applyBorder="1" applyAlignment="1">
      <alignment horizontal="left" vertical="top"/>
    </xf>
    <xf numFmtId="0" fontId="2" fillId="0" borderId="0" xfId="0" applyFont="1" applyBorder="1" applyAlignment="1">
      <alignment horizontal="justify" vertical="top"/>
    </xf>
    <xf numFmtId="2" fontId="33" fillId="0" borderId="0" xfId="0" quotePrefix="1" applyNumberFormat="1" applyFont="1" applyAlignment="1">
      <alignment horizontal="center"/>
    </xf>
    <xf numFmtId="0" fontId="3" fillId="0" borderId="0" xfId="0" applyFont="1" applyAlignment="1">
      <alignment horizontal="center"/>
    </xf>
    <xf numFmtId="0" fontId="9" fillId="0" borderId="0" xfId="0" applyFont="1" applyBorder="1" applyAlignment="1">
      <alignment horizontal="center"/>
    </xf>
    <xf numFmtId="0" fontId="0" fillId="0" borderId="0" xfId="0" applyBorder="1" applyAlignment="1"/>
    <xf numFmtId="0" fontId="15" fillId="0" borderId="0" xfId="0" quotePrefix="1" applyFont="1" applyBorder="1" applyAlignment="1">
      <alignment horizontal="right"/>
    </xf>
    <xf numFmtId="0" fontId="0" fillId="0" borderId="0" xfId="0" applyBorder="1" applyAlignment="1">
      <alignment horizontal="right"/>
    </xf>
    <xf numFmtId="0" fontId="58" fillId="0" borderId="1" xfId="0" applyFont="1" applyBorder="1" applyAlignment="1">
      <alignment horizontal="center" vertical="center"/>
    </xf>
    <xf numFmtId="0" fontId="0" fillId="0" borderId="1" xfId="0" applyBorder="1" applyAlignment="1">
      <alignment horizontal="center" vertical="center"/>
    </xf>
    <xf numFmtId="0" fontId="3" fillId="0" borderId="0" xfId="0" applyFont="1" applyBorder="1" applyAlignment="1">
      <alignment horizontal="left" vertical="justify"/>
    </xf>
    <xf numFmtId="0" fontId="58" fillId="0" borderId="1" xfId="0" applyFont="1" applyBorder="1" applyAlignment="1">
      <alignment horizontal="center"/>
    </xf>
    <xf numFmtId="0" fontId="0" fillId="0" borderId="1" xfId="0" applyBorder="1" applyAlignment="1">
      <alignment horizontal="center"/>
    </xf>
    <xf numFmtId="0" fontId="53" fillId="0" borderId="0" xfId="0" applyFont="1" applyBorder="1" applyAlignment="1">
      <alignment horizontal="justify" vertical="top"/>
    </xf>
    <xf numFmtId="0" fontId="53" fillId="0" borderId="0" xfId="0" quotePrefix="1" applyFont="1" applyBorder="1" applyAlignment="1">
      <alignment horizontal="justify" vertical="top"/>
    </xf>
    <xf numFmtId="0" fontId="2" fillId="0" borderId="3"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13" xfId="0" applyFont="1" applyBorder="1" applyAlignment="1" applyProtection="1">
      <alignment horizontal="center" vertical="center"/>
    </xf>
    <xf numFmtId="0" fontId="3" fillId="2" borderId="0" xfId="0" applyFont="1" applyFill="1" applyBorder="1" applyAlignment="1">
      <alignment horizontal="justify" vertical="top"/>
    </xf>
    <xf numFmtId="0" fontId="3" fillId="2" borderId="0" xfId="0" quotePrefix="1" applyFont="1" applyFill="1" applyBorder="1" applyAlignment="1">
      <alignment horizontal="justify" vertical="top"/>
    </xf>
    <xf numFmtId="0" fontId="97" fillId="0" borderId="3" xfId="0" applyFont="1" applyBorder="1" applyAlignment="1">
      <alignment horizontal="justify" vertical="justify" wrapText="1"/>
    </xf>
    <xf numFmtId="0" fontId="97" fillId="0" borderId="13" xfId="0" applyFont="1" applyBorder="1" applyAlignment="1">
      <alignment horizontal="justify" vertical="justify" wrapText="1"/>
    </xf>
    <xf numFmtId="0" fontId="100" fillId="0" borderId="20" xfId="0" applyFont="1" applyBorder="1" applyAlignment="1">
      <alignment horizontal="center" vertical="top" wrapText="1"/>
    </xf>
    <xf numFmtId="0" fontId="100" fillId="0" borderId="22" xfId="0" applyFont="1" applyBorder="1" applyAlignment="1">
      <alignment horizontal="center" vertical="top" wrapText="1"/>
    </xf>
    <xf numFmtId="0" fontId="101" fillId="0" borderId="20" xfId="0" applyFont="1" applyBorder="1" applyAlignment="1">
      <alignment horizontal="center" vertical="top" wrapText="1"/>
    </xf>
    <xf numFmtId="0" fontId="101" fillId="0" borderId="22" xfId="0" applyFont="1" applyBorder="1" applyAlignment="1">
      <alignment horizontal="center" vertical="top" wrapText="1"/>
    </xf>
    <xf numFmtId="0" fontId="2" fillId="0" borderId="11" xfId="0" applyFont="1" applyBorder="1" applyAlignment="1">
      <alignment horizontal="center"/>
    </xf>
    <xf numFmtId="0" fontId="62" fillId="0" borderId="3" xfId="0" quotePrefix="1" applyFont="1" applyBorder="1" applyAlignment="1">
      <alignment horizontal="center"/>
    </xf>
    <xf numFmtId="0" fontId="62" fillId="0" borderId="2" xfId="0" quotePrefix="1" applyFont="1" applyBorder="1" applyAlignment="1">
      <alignment horizontal="center"/>
    </xf>
    <xf numFmtId="0" fontId="62" fillId="0" borderId="13" xfId="0" quotePrefix="1" applyFont="1" applyBorder="1" applyAlignment="1">
      <alignment horizontal="center"/>
    </xf>
    <xf numFmtId="0" fontId="9" fillId="0" borderId="0" xfId="0" applyFont="1" applyFill="1" applyBorder="1" applyAlignment="1">
      <alignment horizontal="left" vertical="center" wrapText="1"/>
    </xf>
    <xf numFmtId="0" fontId="15" fillId="0" borderId="0" xfId="0" applyFont="1" applyAlignment="1">
      <alignment horizontal="center"/>
    </xf>
    <xf numFmtId="0" fontId="9" fillId="0" borderId="11" xfId="0" applyFont="1" applyBorder="1" applyAlignment="1">
      <alignment horizontal="center"/>
    </xf>
    <xf numFmtId="0" fontId="9" fillId="0" borderId="1" xfId="0" quotePrefix="1" applyFont="1" applyBorder="1" applyAlignment="1">
      <alignment horizontal="center" vertical="center" wrapText="1"/>
    </xf>
    <xf numFmtId="0" fontId="9" fillId="0" borderId="1" xfId="0" applyFont="1" applyBorder="1" applyAlignment="1">
      <alignment horizontal="center" vertical="center" wrapText="1"/>
    </xf>
    <xf numFmtId="0" fontId="3" fillId="0" borderId="3" xfId="0" quotePrefix="1" applyFont="1" applyBorder="1" applyAlignment="1">
      <alignment horizontal="left"/>
    </xf>
    <xf numFmtId="0" fontId="3" fillId="0" borderId="2" xfId="0" quotePrefix="1" applyFont="1" applyBorder="1" applyAlignment="1">
      <alignment horizontal="left"/>
    </xf>
    <xf numFmtId="0" fontId="3" fillId="0" borderId="13" xfId="0" quotePrefix="1" applyFont="1" applyBorder="1" applyAlignment="1">
      <alignment horizontal="left"/>
    </xf>
    <xf numFmtId="0" fontId="3" fillId="0" borderId="3" xfId="0" applyFont="1" applyBorder="1" applyAlignment="1">
      <alignment horizontal="left"/>
    </xf>
    <xf numFmtId="0" fontId="3" fillId="0" borderId="2" xfId="0" applyFont="1" applyBorder="1" applyAlignment="1">
      <alignment horizontal="left"/>
    </xf>
    <xf numFmtId="0" fontId="3" fillId="0" borderId="13" xfId="0" applyFont="1" applyBorder="1" applyAlignment="1">
      <alignment horizontal="left"/>
    </xf>
    <xf numFmtId="0" fontId="2" fillId="0" borderId="0" xfId="0" quotePrefix="1" applyFont="1" applyAlignment="1">
      <alignment horizontal="center"/>
    </xf>
    <xf numFmtId="0" fontId="3" fillId="0" borderId="3" xfId="0" applyFont="1" applyBorder="1" applyAlignment="1">
      <alignment horizontal="justify" vertical="justify"/>
    </xf>
    <xf numFmtId="0" fontId="3" fillId="0" borderId="2" xfId="0" applyFont="1" applyBorder="1" applyAlignment="1">
      <alignment horizontal="justify" vertical="justify"/>
    </xf>
    <xf numFmtId="0" fontId="3" fillId="0" borderId="13" xfId="0" applyFont="1" applyBorder="1" applyAlignment="1">
      <alignment horizontal="justify" vertical="justify"/>
    </xf>
    <xf numFmtId="0" fontId="3" fillId="0" borderId="3" xfId="0" applyFont="1" applyBorder="1" applyAlignment="1">
      <alignment horizontal="left" vertical="justify"/>
    </xf>
    <xf numFmtId="0" fontId="3" fillId="0" borderId="2" xfId="0" applyFont="1" applyBorder="1" applyAlignment="1">
      <alignment horizontal="left" vertical="justify"/>
    </xf>
    <xf numFmtId="0" fontId="3" fillId="0" borderId="13" xfId="0" applyFont="1" applyBorder="1" applyAlignment="1">
      <alignment horizontal="left" vertical="justify"/>
    </xf>
    <xf numFmtId="0" fontId="2" fillId="0" borderId="0" xfId="0" applyFont="1" applyAlignment="1">
      <alignment horizontal="center"/>
    </xf>
    <xf numFmtId="0" fontId="28" fillId="0" borderId="1" xfId="0" quotePrefix="1" applyFont="1" applyBorder="1" applyAlignment="1">
      <alignment horizontal="center"/>
    </xf>
    <xf numFmtId="0" fontId="28" fillId="0" borderId="1" xfId="0" applyFont="1" applyBorder="1" applyAlignment="1">
      <alignment horizontal="center"/>
    </xf>
    <xf numFmtId="0" fontId="95" fillId="0" borderId="0" xfId="0" applyFont="1" applyBorder="1" applyAlignment="1">
      <alignment horizontal="justify" vertical="justify"/>
    </xf>
    <xf numFmtId="0" fontId="94" fillId="0" borderId="0" xfId="0" applyFont="1" applyBorder="1" applyAlignment="1">
      <alignment horizontal="justify" vertical="justify"/>
    </xf>
    <xf numFmtId="0" fontId="8" fillId="0" borderId="0" xfId="0" applyFont="1" applyBorder="1" applyAlignment="1">
      <alignment horizontal="center"/>
    </xf>
    <xf numFmtId="0" fontId="14" fillId="8" borderId="0" xfId="0" applyFont="1" applyFill="1" applyBorder="1" applyAlignment="1">
      <alignment horizontal="center"/>
    </xf>
    <xf numFmtId="0" fontId="61" fillId="0" borderId="0" xfId="0" applyFont="1" applyAlignment="1">
      <alignment horizontal="center"/>
    </xf>
    <xf numFmtId="0" fontId="53" fillId="12" borderId="1" xfId="0" applyFont="1" applyFill="1" applyBorder="1" applyAlignment="1">
      <alignment horizontal="center"/>
    </xf>
    <xf numFmtId="0" fontId="109" fillId="9" borderId="3" xfId="0" applyFont="1" applyFill="1" applyBorder="1" applyAlignment="1">
      <alignment horizontal="center"/>
    </xf>
    <xf numFmtId="0" fontId="109" fillId="9" borderId="13" xfId="0" applyFont="1" applyFill="1" applyBorder="1" applyAlignment="1">
      <alignment horizontal="center"/>
    </xf>
    <xf numFmtId="2" fontId="132" fillId="0" borderId="0" xfId="0" applyNumberFormat="1" applyFont="1" applyBorder="1" applyAlignment="1">
      <alignment horizontal="center"/>
    </xf>
    <xf numFmtId="0" fontId="5" fillId="0" borderId="3" xfId="0" quotePrefix="1" applyFont="1" applyBorder="1" applyAlignment="1">
      <alignment horizontal="center"/>
    </xf>
    <xf numFmtId="0" fontId="5" fillId="0" borderId="13" xfId="0" quotePrefix="1" applyFont="1" applyBorder="1" applyAlignment="1">
      <alignment horizontal="center"/>
    </xf>
    <xf numFmtId="2" fontId="65" fillId="0" borderId="0" xfId="0" applyNumberFormat="1" applyFont="1" applyAlignment="1">
      <alignment horizontal="center"/>
    </xf>
    <xf numFmtId="0" fontId="66" fillId="0" borderId="0" xfId="0" quotePrefix="1" applyFont="1" applyAlignment="1">
      <alignment horizontal="right"/>
    </xf>
    <xf numFmtId="0" fontId="64" fillId="0" borderId="0" xfId="0" applyFont="1" applyAlignment="1">
      <alignment horizontal="left" vertical="top" wrapText="1"/>
    </xf>
    <xf numFmtId="0" fontId="9" fillId="0" borderId="2" xfId="0" applyFont="1" applyBorder="1" applyAlignment="1">
      <alignment horizontal="center"/>
    </xf>
    <xf numFmtId="0" fontId="0" fillId="0" borderId="0" xfId="0" quotePrefix="1" applyBorder="1" applyAlignment="1">
      <alignment horizontal="left"/>
    </xf>
    <xf numFmtId="0" fontId="3" fillId="0" borderId="0" xfId="0" applyFont="1" applyBorder="1" applyAlignment="1">
      <alignment horizontal="left"/>
    </xf>
    <xf numFmtId="0" fontId="138" fillId="25" borderId="0" xfId="0" applyFont="1" applyFill="1" applyBorder="1" applyAlignment="1">
      <alignment horizontal="justify" vertical="justify"/>
    </xf>
    <xf numFmtId="0" fontId="138" fillId="25" borderId="0" xfId="0" applyFont="1" applyFill="1" applyBorder="1" applyAlignment="1">
      <alignment horizontal="left" vertical="justify"/>
    </xf>
    <xf numFmtId="0" fontId="8" fillId="0" borderId="1" xfId="0" applyFont="1" applyBorder="1" applyAlignment="1">
      <alignment horizontal="center"/>
    </xf>
    <xf numFmtId="0" fontId="14" fillId="8" borderId="1" xfId="0" applyFont="1" applyFill="1" applyBorder="1" applyAlignment="1">
      <alignment horizontal="center"/>
    </xf>
    <xf numFmtId="0" fontId="65" fillId="0" borderId="0" xfId="0" applyFont="1" applyAlignment="1">
      <alignment horizontal="center" vertical="top"/>
    </xf>
    <xf numFmtId="0" fontId="65" fillId="0" borderId="0" xfId="0" applyFont="1" applyAlignment="1">
      <alignment horizontal="center"/>
    </xf>
    <xf numFmtId="0" fontId="143" fillId="0" borderId="0" xfId="0" applyFont="1" applyAlignment="1">
      <alignment horizontal="center" vertical="center" wrapText="1"/>
    </xf>
    <xf numFmtId="0" fontId="154" fillId="0" borderId="0" xfId="0" applyFont="1" applyAlignment="1">
      <alignment horizontal="center" vertical="center" wrapText="1"/>
    </xf>
    <xf numFmtId="0" fontId="141" fillId="0" borderId="1" xfId="0" applyFont="1" applyBorder="1" applyAlignment="1">
      <alignment horizontal="center" vertical="center" wrapText="1"/>
    </xf>
  </cellXfs>
  <cellStyles count="3">
    <cellStyle name="Normal" xfId="0" builtinId="0"/>
    <cellStyle name="Normal 2" xfId="2"/>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5</xdr:col>
      <xdr:colOff>866775</xdr:colOff>
      <xdr:row>1625</xdr:row>
      <xdr:rowOff>123825</xdr:rowOff>
    </xdr:from>
    <xdr:to>
      <xdr:col>6</xdr:col>
      <xdr:colOff>76200</xdr:colOff>
      <xdr:row>1627</xdr:row>
      <xdr:rowOff>85725</xdr:rowOff>
    </xdr:to>
    <xdr:sp macro="" textlink="">
      <xdr:nvSpPr>
        <xdr:cNvPr id="2" name="Line 374"/>
        <xdr:cNvSpPr>
          <a:spLocks noChangeShapeType="1"/>
        </xdr:cNvSpPr>
      </xdr:nvSpPr>
      <xdr:spPr bwMode="auto">
        <a:xfrm flipH="1">
          <a:off x="4029075" y="271567275"/>
          <a:ext cx="76200" cy="285750"/>
        </a:xfrm>
        <a:prstGeom prst="line">
          <a:avLst/>
        </a:prstGeom>
        <a:no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9525</xdr:colOff>
      <xdr:row>17</xdr:row>
      <xdr:rowOff>19050</xdr:rowOff>
    </xdr:from>
    <xdr:to>
      <xdr:col>3</xdr:col>
      <xdr:colOff>171450</xdr:colOff>
      <xdr:row>27</xdr:row>
      <xdr:rowOff>0</xdr:rowOff>
    </xdr:to>
    <xdr:sp macro="" textlink="">
      <xdr:nvSpPr>
        <xdr:cNvPr id="2" name="Rectangle 1"/>
        <xdr:cNvSpPr>
          <a:spLocks noChangeArrowheads="1"/>
        </xdr:cNvSpPr>
      </xdr:nvSpPr>
      <xdr:spPr bwMode="auto">
        <a:xfrm>
          <a:off x="1838325" y="3128010"/>
          <a:ext cx="161925" cy="1809750"/>
        </a:xfrm>
        <a:prstGeom prst="rect">
          <a:avLst/>
        </a:prstGeom>
        <a:noFill/>
        <a:ln w="9525">
          <a:solidFill>
            <a:srgbClr val="000000"/>
          </a:solidFill>
          <a:miter lim="800000"/>
          <a:headEnd/>
          <a:tailEnd/>
        </a:ln>
      </xdr:spPr>
    </xdr:sp>
    <xdr:clientData/>
  </xdr:twoCellAnchor>
  <xdr:twoCellAnchor>
    <xdr:from>
      <xdr:col>6</xdr:col>
      <xdr:colOff>9525</xdr:colOff>
      <xdr:row>17</xdr:row>
      <xdr:rowOff>19050</xdr:rowOff>
    </xdr:from>
    <xdr:to>
      <xdr:col>6</xdr:col>
      <xdr:colOff>171450</xdr:colOff>
      <xdr:row>27</xdr:row>
      <xdr:rowOff>0</xdr:rowOff>
    </xdr:to>
    <xdr:sp macro="" textlink="">
      <xdr:nvSpPr>
        <xdr:cNvPr id="3" name="Rectangle 2"/>
        <xdr:cNvSpPr>
          <a:spLocks noChangeArrowheads="1"/>
        </xdr:cNvSpPr>
      </xdr:nvSpPr>
      <xdr:spPr bwMode="auto">
        <a:xfrm>
          <a:off x="3667125" y="3128010"/>
          <a:ext cx="161925" cy="1809750"/>
        </a:xfrm>
        <a:prstGeom prst="rect">
          <a:avLst/>
        </a:prstGeom>
        <a:noFill/>
        <a:ln w="9525">
          <a:solidFill>
            <a:srgbClr val="000000"/>
          </a:solidFill>
          <a:miter lim="800000"/>
          <a:headEnd/>
          <a:tailEnd/>
        </a:ln>
      </xdr:spPr>
    </xdr:sp>
    <xdr:clientData/>
  </xdr:twoCellAnchor>
  <xdr:twoCellAnchor>
    <xdr:from>
      <xdr:col>2</xdr:col>
      <xdr:colOff>333375</xdr:colOff>
      <xdr:row>27</xdr:row>
      <xdr:rowOff>0</xdr:rowOff>
    </xdr:from>
    <xdr:to>
      <xdr:col>6</xdr:col>
      <xdr:colOff>447675</xdr:colOff>
      <xdr:row>28</xdr:row>
      <xdr:rowOff>0</xdr:rowOff>
    </xdr:to>
    <xdr:sp macro="" textlink="">
      <xdr:nvSpPr>
        <xdr:cNvPr id="4" name="Rectangle 3"/>
        <xdr:cNvSpPr>
          <a:spLocks noChangeArrowheads="1"/>
        </xdr:cNvSpPr>
      </xdr:nvSpPr>
      <xdr:spPr bwMode="auto">
        <a:xfrm>
          <a:off x="1552575" y="4937760"/>
          <a:ext cx="2552700" cy="182880"/>
        </a:xfrm>
        <a:prstGeom prst="rect">
          <a:avLst/>
        </a:prstGeom>
        <a:noFill/>
        <a:ln w="9525">
          <a:solidFill>
            <a:srgbClr val="000000"/>
          </a:solidFill>
          <a:miter lim="800000"/>
          <a:headEnd/>
          <a:tailEnd/>
        </a:ln>
      </xdr:spPr>
    </xdr:sp>
    <xdr:clientData/>
  </xdr:twoCellAnchor>
  <xdr:twoCellAnchor>
    <xdr:from>
      <xdr:col>2</xdr:col>
      <xdr:colOff>333375</xdr:colOff>
      <xdr:row>28</xdr:row>
      <xdr:rowOff>9525</xdr:rowOff>
    </xdr:from>
    <xdr:to>
      <xdr:col>6</xdr:col>
      <xdr:colOff>447675</xdr:colOff>
      <xdr:row>28</xdr:row>
      <xdr:rowOff>95250</xdr:rowOff>
    </xdr:to>
    <xdr:sp macro="" textlink="">
      <xdr:nvSpPr>
        <xdr:cNvPr id="5" name="Rectangle 4"/>
        <xdr:cNvSpPr>
          <a:spLocks noChangeArrowheads="1"/>
        </xdr:cNvSpPr>
      </xdr:nvSpPr>
      <xdr:spPr bwMode="auto">
        <a:xfrm>
          <a:off x="1552575" y="5130165"/>
          <a:ext cx="2552700" cy="85725"/>
        </a:xfrm>
        <a:prstGeom prst="rect">
          <a:avLst/>
        </a:prstGeom>
        <a:noFill/>
        <a:ln w="9525">
          <a:solidFill>
            <a:srgbClr val="000000"/>
          </a:solidFill>
          <a:miter lim="800000"/>
          <a:headEnd/>
          <a:tailEnd/>
        </a:ln>
      </xdr:spPr>
    </xdr:sp>
    <xdr:clientData/>
  </xdr:twoCellAnchor>
  <xdr:twoCellAnchor>
    <xdr:from>
      <xdr:col>2</xdr:col>
      <xdr:colOff>342900</xdr:colOff>
      <xdr:row>28</xdr:row>
      <xdr:rowOff>104775</xdr:rowOff>
    </xdr:from>
    <xdr:to>
      <xdr:col>6</xdr:col>
      <xdr:colOff>447675</xdr:colOff>
      <xdr:row>29</xdr:row>
      <xdr:rowOff>38100</xdr:rowOff>
    </xdr:to>
    <xdr:sp macro="" textlink="">
      <xdr:nvSpPr>
        <xdr:cNvPr id="6" name="Rectangle 5"/>
        <xdr:cNvSpPr>
          <a:spLocks noChangeArrowheads="1"/>
        </xdr:cNvSpPr>
      </xdr:nvSpPr>
      <xdr:spPr bwMode="auto">
        <a:xfrm>
          <a:off x="1562100" y="5225415"/>
          <a:ext cx="2543175" cy="116205"/>
        </a:xfrm>
        <a:prstGeom prst="rect">
          <a:avLst/>
        </a:prstGeom>
        <a:noFill/>
        <a:ln w="9525">
          <a:solidFill>
            <a:srgbClr val="000000"/>
          </a:solidFill>
          <a:miter lim="800000"/>
          <a:headEnd/>
          <a:tailEnd/>
        </a:ln>
      </xdr:spPr>
    </xdr:sp>
    <xdr:clientData/>
  </xdr:twoCellAnchor>
  <xdr:twoCellAnchor>
    <xdr:from>
      <xdr:col>18</xdr:col>
      <xdr:colOff>0</xdr:colOff>
      <xdr:row>19</xdr:row>
      <xdr:rowOff>142875</xdr:rowOff>
    </xdr:from>
    <xdr:to>
      <xdr:col>18</xdr:col>
      <xdr:colOff>0</xdr:colOff>
      <xdr:row>19</xdr:row>
      <xdr:rowOff>152400</xdr:rowOff>
    </xdr:to>
    <xdr:sp macro="" textlink="">
      <xdr:nvSpPr>
        <xdr:cNvPr id="7" name="Arc 6"/>
        <xdr:cNvSpPr>
          <a:spLocks/>
        </xdr:cNvSpPr>
      </xdr:nvSpPr>
      <xdr:spPr bwMode="auto">
        <a:xfrm>
          <a:off x="11193780" y="3617595"/>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23</xdr:row>
      <xdr:rowOff>95250</xdr:rowOff>
    </xdr:from>
    <xdr:to>
      <xdr:col>4</xdr:col>
      <xdr:colOff>352425</xdr:colOff>
      <xdr:row>23</xdr:row>
      <xdr:rowOff>95250</xdr:rowOff>
    </xdr:to>
    <xdr:sp macro="" textlink="">
      <xdr:nvSpPr>
        <xdr:cNvPr id="8" name="Line 7"/>
        <xdr:cNvSpPr>
          <a:spLocks noChangeShapeType="1"/>
        </xdr:cNvSpPr>
      </xdr:nvSpPr>
      <xdr:spPr bwMode="auto">
        <a:xfrm>
          <a:off x="2000250" y="4301490"/>
          <a:ext cx="790575" cy="0"/>
        </a:xfrm>
        <a:prstGeom prst="line">
          <a:avLst/>
        </a:prstGeom>
        <a:noFill/>
        <a:ln w="9525">
          <a:solidFill>
            <a:srgbClr val="000000"/>
          </a:solidFill>
          <a:round/>
          <a:headEnd/>
          <a:tailEnd/>
        </a:ln>
      </xdr:spPr>
    </xdr:sp>
    <xdr:clientData/>
  </xdr:twoCellAnchor>
  <xdr:twoCellAnchor>
    <xdr:from>
      <xdr:col>5</xdr:col>
      <xdr:colOff>104775</xdr:colOff>
      <xdr:row>23</xdr:row>
      <xdr:rowOff>104775</xdr:rowOff>
    </xdr:from>
    <xdr:to>
      <xdr:col>6</xdr:col>
      <xdr:colOff>19050</xdr:colOff>
      <xdr:row>23</xdr:row>
      <xdr:rowOff>104775</xdr:rowOff>
    </xdr:to>
    <xdr:sp macro="" textlink="">
      <xdr:nvSpPr>
        <xdr:cNvPr id="9" name="Line 8"/>
        <xdr:cNvSpPr>
          <a:spLocks noChangeShapeType="1"/>
        </xdr:cNvSpPr>
      </xdr:nvSpPr>
      <xdr:spPr bwMode="auto">
        <a:xfrm flipH="1">
          <a:off x="3152775" y="4311015"/>
          <a:ext cx="523875" cy="0"/>
        </a:xfrm>
        <a:prstGeom prst="line">
          <a:avLst/>
        </a:prstGeom>
        <a:noFill/>
        <a:ln w="9525">
          <a:solidFill>
            <a:srgbClr val="000000"/>
          </a:solidFill>
          <a:round/>
          <a:headEnd/>
          <a:tailEnd/>
        </a:ln>
      </xdr:spPr>
    </xdr:sp>
    <xdr:clientData/>
  </xdr:twoCellAnchor>
  <xdr:twoCellAnchor>
    <xdr:from>
      <xdr:col>1</xdr:col>
      <xdr:colOff>152400</xdr:colOff>
      <xdr:row>19</xdr:row>
      <xdr:rowOff>76200</xdr:rowOff>
    </xdr:from>
    <xdr:to>
      <xdr:col>2</xdr:col>
      <xdr:colOff>600075</xdr:colOff>
      <xdr:row>19</xdr:row>
      <xdr:rowOff>76200</xdr:rowOff>
    </xdr:to>
    <xdr:sp macro="" textlink="">
      <xdr:nvSpPr>
        <xdr:cNvPr id="10" name="Line 9"/>
        <xdr:cNvSpPr>
          <a:spLocks noChangeShapeType="1"/>
        </xdr:cNvSpPr>
      </xdr:nvSpPr>
      <xdr:spPr bwMode="auto">
        <a:xfrm>
          <a:off x="762000" y="3550920"/>
          <a:ext cx="1057275" cy="0"/>
        </a:xfrm>
        <a:prstGeom prst="line">
          <a:avLst/>
        </a:prstGeom>
        <a:noFill/>
        <a:ln w="9525">
          <a:solidFill>
            <a:srgbClr val="000000"/>
          </a:solidFill>
          <a:round/>
          <a:headEnd/>
          <a:tailEnd/>
        </a:ln>
      </xdr:spPr>
    </xdr:sp>
    <xdr:clientData/>
  </xdr:twoCellAnchor>
  <xdr:twoCellAnchor>
    <xdr:from>
      <xdr:col>6</xdr:col>
      <xdr:colOff>190500</xdr:colOff>
      <xdr:row>19</xdr:row>
      <xdr:rowOff>66675</xdr:rowOff>
    </xdr:from>
    <xdr:to>
      <xdr:col>7</xdr:col>
      <xdr:colOff>314325</xdr:colOff>
      <xdr:row>19</xdr:row>
      <xdr:rowOff>66675</xdr:rowOff>
    </xdr:to>
    <xdr:sp macro="" textlink="">
      <xdr:nvSpPr>
        <xdr:cNvPr id="11" name="Line 10"/>
        <xdr:cNvSpPr>
          <a:spLocks noChangeShapeType="1"/>
        </xdr:cNvSpPr>
      </xdr:nvSpPr>
      <xdr:spPr bwMode="auto">
        <a:xfrm>
          <a:off x="3848100" y="3541395"/>
          <a:ext cx="733425" cy="0"/>
        </a:xfrm>
        <a:prstGeom prst="line">
          <a:avLst/>
        </a:prstGeom>
        <a:noFill/>
        <a:ln w="9525">
          <a:solidFill>
            <a:srgbClr val="000000"/>
          </a:solidFill>
          <a:round/>
          <a:headEnd/>
          <a:tailEnd/>
        </a:ln>
      </xdr:spPr>
    </xdr:sp>
    <xdr:clientData/>
  </xdr:twoCellAnchor>
  <xdr:twoCellAnchor>
    <xdr:from>
      <xdr:col>3</xdr:col>
      <xdr:colOff>152400</xdr:colOff>
      <xdr:row>23</xdr:row>
      <xdr:rowOff>28575</xdr:rowOff>
    </xdr:from>
    <xdr:to>
      <xdr:col>3</xdr:col>
      <xdr:colOff>247650</xdr:colOff>
      <xdr:row>23</xdr:row>
      <xdr:rowOff>104775</xdr:rowOff>
    </xdr:to>
    <xdr:sp macro="" textlink="">
      <xdr:nvSpPr>
        <xdr:cNvPr id="12" name="Line 11"/>
        <xdr:cNvSpPr>
          <a:spLocks noChangeShapeType="1"/>
        </xdr:cNvSpPr>
      </xdr:nvSpPr>
      <xdr:spPr bwMode="auto">
        <a:xfrm flipV="1">
          <a:off x="1981200" y="4234815"/>
          <a:ext cx="95250" cy="76200"/>
        </a:xfrm>
        <a:prstGeom prst="line">
          <a:avLst/>
        </a:prstGeom>
        <a:noFill/>
        <a:ln w="9525">
          <a:solidFill>
            <a:srgbClr val="000000"/>
          </a:solidFill>
          <a:round/>
          <a:headEnd/>
          <a:tailEnd/>
        </a:ln>
      </xdr:spPr>
    </xdr:sp>
    <xdr:clientData/>
  </xdr:twoCellAnchor>
  <xdr:twoCellAnchor>
    <xdr:from>
      <xdr:col>5</xdr:col>
      <xdr:colOff>590550</xdr:colOff>
      <xdr:row>23</xdr:row>
      <xdr:rowOff>47625</xdr:rowOff>
    </xdr:from>
    <xdr:to>
      <xdr:col>6</xdr:col>
      <xdr:colOff>66675</xdr:colOff>
      <xdr:row>23</xdr:row>
      <xdr:rowOff>142875</xdr:rowOff>
    </xdr:to>
    <xdr:sp macro="" textlink="">
      <xdr:nvSpPr>
        <xdr:cNvPr id="13" name="Line 12"/>
        <xdr:cNvSpPr>
          <a:spLocks noChangeShapeType="1"/>
        </xdr:cNvSpPr>
      </xdr:nvSpPr>
      <xdr:spPr bwMode="auto">
        <a:xfrm flipV="1">
          <a:off x="3638550" y="4253865"/>
          <a:ext cx="85725" cy="95250"/>
        </a:xfrm>
        <a:prstGeom prst="line">
          <a:avLst/>
        </a:prstGeom>
        <a:noFill/>
        <a:ln w="9525">
          <a:solidFill>
            <a:srgbClr val="000000"/>
          </a:solidFill>
          <a:round/>
          <a:headEnd/>
          <a:tailEnd/>
        </a:ln>
      </xdr:spPr>
    </xdr:sp>
    <xdr:clientData/>
  </xdr:twoCellAnchor>
  <xdr:twoCellAnchor>
    <xdr:from>
      <xdr:col>6</xdr:col>
      <xdr:colOff>495300</xdr:colOff>
      <xdr:row>19</xdr:row>
      <xdr:rowOff>57150</xdr:rowOff>
    </xdr:from>
    <xdr:to>
      <xdr:col>6</xdr:col>
      <xdr:colOff>561975</xdr:colOff>
      <xdr:row>20</xdr:row>
      <xdr:rowOff>9525</xdr:rowOff>
    </xdr:to>
    <xdr:sp macro="" textlink="">
      <xdr:nvSpPr>
        <xdr:cNvPr id="14" name="Line 13"/>
        <xdr:cNvSpPr>
          <a:spLocks noChangeShapeType="1"/>
        </xdr:cNvSpPr>
      </xdr:nvSpPr>
      <xdr:spPr bwMode="auto">
        <a:xfrm flipH="1">
          <a:off x="4152900" y="3531870"/>
          <a:ext cx="66675" cy="135255"/>
        </a:xfrm>
        <a:prstGeom prst="line">
          <a:avLst/>
        </a:prstGeom>
        <a:noFill/>
        <a:ln w="9525">
          <a:solidFill>
            <a:srgbClr val="000000"/>
          </a:solidFill>
          <a:round/>
          <a:headEnd/>
          <a:tailEnd/>
        </a:ln>
      </xdr:spPr>
    </xdr:sp>
    <xdr:clientData/>
  </xdr:twoCellAnchor>
  <xdr:twoCellAnchor>
    <xdr:from>
      <xdr:col>6</xdr:col>
      <xdr:colOff>571500</xdr:colOff>
      <xdr:row>19</xdr:row>
      <xdr:rowOff>76200</xdr:rowOff>
    </xdr:from>
    <xdr:to>
      <xdr:col>7</xdr:col>
      <xdr:colOff>19050</xdr:colOff>
      <xdr:row>20</xdr:row>
      <xdr:rowOff>38100</xdr:rowOff>
    </xdr:to>
    <xdr:sp macro="" textlink="">
      <xdr:nvSpPr>
        <xdr:cNvPr id="15" name="Line 14"/>
        <xdr:cNvSpPr>
          <a:spLocks noChangeShapeType="1"/>
        </xdr:cNvSpPr>
      </xdr:nvSpPr>
      <xdr:spPr bwMode="auto">
        <a:xfrm flipH="1">
          <a:off x="4229100" y="3550920"/>
          <a:ext cx="57150" cy="144780"/>
        </a:xfrm>
        <a:prstGeom prst="line">
          <a:avLst/>
        </a:prstGeom>
        <a:noFill/>
        <a:ln w="9525">
          <a:solidFill>
            <a:srgbClr val="000000"/>
          </a:solidFill>
          <a:round/>
          <a:headEnd/>
          <a:tailEnd/>
        </a:ln>
      </xdr:spPr>
    </xdr:sp>
    <xdr:clientData/>
  </xdr:twoCellAnchor>
  <xdr:twoCellAnchor>
    <xdr:from>
      <xdr:col>7</xdr:col>
      <xdr:colOff>76200</xdr:colOff>
      <xdr:row>19</xdr:row>
      <xdr:rowOff>57150</xdr:rowOff>
    </xdr:from>
    <xdr:to>
      <xdr:col>7</xdr:col>
      <xdr:colOff>152400</xdr:colOff>
      <xdr:row>20</xdr:row>
      <xdr:rowOff>76200</xdr:rowOff>
    </xdr:to>
    <xdr:sp macro="" textlink="">
      <xdr:nvSpPr>
        <xdr:cNvPr id="16" name="Line 15"/>
        <xdr:cNvSpPr>
          <a:spLocks noChangeShapeType="1"/>
        </xdr:cNvSpPr>
      </xdr:nvSpPr>
      <xdr:spPr bwMode="auto">
        <a:xfrm flipH="1">
          <a:off x="4343400" y="3531870"/>
          <a:ext cx="76200" cy="201930"/>
        </a:xfrm>
        <a:prstGeom prst="line">
          <a:avLst/>
        </a:prstGeom>
        <a:noFill/>
        <a:ln w="9525">
          <a:solidFill>
            <a:srgbClr val="000000"/>
          </a:solidFill>
          <a:round/>
          <a:headEnd/>
          <a:tailEnd/>
        </a:ln>
      </xdr:spPr>
    </xdr:sp>
    <xdr:clientData/>
  </xdr:twoCellAnchor>
  <xdr:twoCellAnchor>
    <xdr:from>
      <xdr:col>7</xdr:col>
      <xdr:colOff>171450</xdr:colOff>
      <xdr:row>19</xdr:row>
      <xdr:rowOff>66675</xdr:rowOff>
    </xdr:from>
    <xdr:to>
      <xdr:col>7</xdr:col>
      <xdr:colOff>276225</xdr:colOff>
      <xdr:row>20</xdr:row>
      <xdr:rowOff>123825</xdr:rowOff>
    </xdr:to>
    <xdr:sp macro="" textlink="">
      <xdr:nvSpPr>
        <xdr:cNvPr id="17" name="Line 16"/>
        <xdr:cNvSpPr>
          <a:spLocks noChangeShapeType="1"/>
        </xdr:cNvSpPr>
      </xdr:nvSpPr>
      <xdr:spPr bwMode="auto">
        <a:xfrm flipH="1">
          <a:off x="4438650" y="3541395"/>
          <a:ext cx="104775" cy="240030"/>
        </a:xfrm>
        <a:prstGeom prst="line">
          <a:avLst/>
        </a:prstGeom>
        <a:noFill/>
        <a:ln w="9525">
          <a:solidFill>
            <a:srgbClr val="000000"/>
          </a:solidFill>
          <a:round/>
          <a:headEnd/>
          <a:tailEnd/>
        </a:ln>
      </xdr:spPr>
    </xdr:sp>
    <xdr:clientData/>
  </xdr:twoCellAnchor>
  <xdr:twoCellAnchor>
    <xdr:from>
      <xdr:col>2</xdr:col>
      <xdr:colOff>28575</xdr:colOff>
      <xdr:row>19</xdr:row>
      <xdr:rowOff>85725</xdr:rowOff>
    </xdr:from>
    <xdr:to>
      <xdr:col>2</xdr:col>
      <xdr:colOff>104775</xdr:colOff>
      <xdr:row>20</xdr:row>
      <xdr:rowOff>9525</xdr:rowOff>
    </xdr:to>
    <xdr:sp macro="" textlink="">
      <xdr:nvSpPr>
        <xdr:cNvPr id="18" name="Line 17"/>
        <xdr:cNvSpPr>
          <a:spLocks noChangeShapeType="1"/>
        </xdr:cNvSpPr>
      </xdr:nvSpPr>
      <xdr:spPr bwMode="auto">
        <a:xfrm flipH="1">
          <a:off x="1247775" y="3560445"/>
          <a:ext cx="76200" cy="106680"/>
        </a:xfrm>
        <a:prstGeom prst="line">
          <a:avLst/>
        </a:prstGeom>
        <a:noFill/>
        <a:ln w="9525">
          <a:solidFill>
            <a:srgbClr val="000000"/>
          </a:solidFill>
          <a:round/>
          <a:headEnd/>
          <a:tailEnd/>
        </a:ln>
      </xdr:spPr>
    </xdr:sp>
    <xdr:clientData/>
  </xdr:twoCellAnchor>
  <xdr:twoCellAnchor>
    <xdr:from>
      <xdr:col>2</xdr:col>
      <xdr:colOff>171450</xdr:colOff>
      <xdr:row>19</xdr:row>
      <xdr:rowOff>85725</xdr:rowOff>
    </xdr:from>
    <xdr:to>
      <xdr:col>2</xdr:col>
      <xdr:colOff>247650</xdr:colOff>
      <xdr:row>20</xdr:row>
      <xdr:rowOff>57150</xdr:rowOff>
    </xdr:to>
    <xdr:sp macro="" textlink="">
      <xdr:nvSpPr>
        <xdr:cNvPr id="19" name="Line 18"/>
        <xdr:cNvSpPr>
          <a:spLocks noChangeShapeType="1"/>
        </xdr:cNvSpPr>
      </xdr:nvSpPr>
      <xdr:spPr bwMode="auto">
        <a:xfrm flipH="1">
          <a:off x="1390650" y="3560445"/>
          <a:ext cx="76200" cy="154305"/>
        </a:xfrm>
        <a:prstGeom prst="line">
          <a:avLst/>
        </a:prstGeom>
        <a:noFill/>
        <a:ln w="9525">
          <a:solidFill>
            <a:srgbClr val="000000"/>
          </a:solidFill>
          <a:round/>
          <a:headEnd/>
          <a:tailEnd/>
        </a:ln>
      </xdr:spPr>
    </xdr:sp>
    <xdr:clientData/>
  </xdr:twoCellAnchor>
  <xdr:twoCellAnchor>
    <xdr:from>
      <xdr:col>2</xdr:col>
      <xdr:colOff>352425</xdr:colOff>
      <xdr:row>19</xdr:row>
      <xdr:rowOff>85725</xdr:rowOff>
    </xdr:from>
    <xdr:to>
      <xdr:col>2</xdr:col>
      <xdr:colOff>409575</xdr:colOff>
      <xdr:row>20</xdr:row>
      <xdr:rowOff>66675</xdr:rowOff>
    </xdr:to>
    <xdr:sp macro="" textlink="">
      <xdr:nvSpPr>
        <xdr:cNvPr id="20" name="Line 19"/>
        <xdr:cNvSpPr>
          <a:spLocks noChangeShapeType="1"/>
        </xdr:cNvSpPr>
      </xdr:nvSpPr>
      <xdr:spPr bwMode="auto">
        <a:xfrm flipH="1">
          <a:off x="1571625" y="3560445"/>
          <a:ext cx="57150" cy="163830"/>
        </a:xfrm>
        <a:prstGeom prst="line">
          <a:avLst/>
        </a:prstGeom>
        <a:noFill/>
        <a:ln w="9525">
          <a:solidFill>
            <a:srgbClr val="000000"/>
          </a:solidFill>
          <a:round/>
          <a:headEnd/>
          <a:tailEnd/>
        </a:ln>
      </xdr:spPr>
    </xdr:sp>
    <xdr:clientData/>
  </xdr:twoCellAnchor>
  <xdr:twoCellAnchor>
    <xdr:from>
      <xdr:col>1</xdr:col>
      <xdr:colOff>457200</xdr:colOff>
      <xdr:row>19</xdr:row>
      <xdr:rowOff>76200</xdr:rowOff>
    </xdr:from>
    <xdr:to>
      <xdr:col>1</xdr:col>
      <xdr:colOff>561975</xdr:colOff>
      <xdr:row>20</xdr:row>
      <xdr:rowOff>47625</xdr:rowOff>
    </xdr:to>
    <xdr:sp macro="" textlink="">
      <xdr:nvSpPr>
        <xdr:cNvPr id="21" name="Line 20"/>
        <xdr:cNvSpPr>
          <a:spLocks noChangeShapeType="1"/>
        </xdr:cNvSpPr>
      </xdr:nvSpPr>
      <xdr:spPr bwMode="auto">
        <a:xfrm flipH="1">
          <a:off x="1066800" y="3550920"/>
          <a:ext cx="104775" cy="154305"/>
        </a:xfrm>
        <a:prstGeom prst="line">
          <a:avLst/>
        </a:prstGeom>
        <a:noFill/>
        <a:ln w="9525">
          <a:solidFill>
            <a:srgbClr val="000000"/>
          </a:solidFill>
          <a:round/>
          <a:headEnd/>
          <a:tailEnd/>
        </a:ln>
      </xdr:spPr>
    </xdr:sp>
    <xdr:clientData/>
  </xdr:twoCellAnchor>
  <xdr:twoCellAnchor>
    <xdr:from>
      <xdr:col>1</xdr:col>
      <xdr:colOff>247650</xdr:colOff>
      <xdr:row>19</xdr:row>
      <xdr:rowOff>85725</xdr:rowOff>
    </xdr:from>
    <xdr:to>
      <xdr:col>1</xdr:col>
      <xdr:colOff>352425</xdr:colOff>
      <xdr:row>20</xdr:row>
      <xdr:rowOff>104775</xdr:rowOff>
    </xdr:to>
    <xdr:sp macro="" textlink="">
      <xdr:nvSpPr>
        <xdr:cNvPr id="22" name="Line 21"/>
        <xdr:cNvSpPr>
          <a:spLocks noChangeShapeType="1"/>
        </xdr:cNvSpPr>
      </xdr:nvSpPr>
      <xdr:spPr bwMode="auto">
        <a:xfrm flipH="1">
          <a:off x="857250" y="3560445"/>
          <a:ext cx="104775" cy="201930"/>
        </a:xfrm>
        <a:prstGeom prst="line">
          <a:avLst/>
        </a:prstGeom>
        <a:noFill/>
        <a:ln w="9525">
          <a:solidFill>
            <a:srgbClr val="000000"/>
          </a:solidFill>
          <a:round/>
          <a:headEnd/>
          <a:tailEnd/>
        </a:ln>
      </xdr:spPr>
    </xdr:sp>
    <xdr:clientData/>
  </xdr:twoCellAnchor>
  <xdr:twoCellAnchor>
    <xdr:from>
      <xdr:col>1</xdr:col>
      <xdr:colOff>590550</xdr:colOff>
      <xdr:row>20</xdr:row>
      <xdr:rowOff>9525</xdr:rowOff>
    </xdr:from>
    <xdr:to>
      <xdr:col>2</xdr:col>
      <xdr:colOff>47625</xdr:colOff>
      <xdr:row>20</xdr:row>
      <xdr:rowOff>95250</xdr:rowOff>
    </xdr:to>
    <xdr:sp macro="" textlink="">
      <xdr:nvSpPr>
        <xdr:cNvPr id="23" name="Line 22"/>
        <xdr:cNvSpPr>
          <a:spLocks noChangeShapeType="1"/>
        </xdr:cNvSpPr>
      </xdr:nvSpPr>
      <xdr:spPr bwMode="auto">
        <a:xfrm flipH="1">
          <a:off x="1200150" y="3667125"/>
          <a:ext cx="66675" cy="85725"/>
        </a:xfrm>
        <a:prstGeom prst="line">
          <a:avLst/>
        </a:prstGeom>
        <a:noFill/>
        <a:ln w="9525">
          <a:solidFill>
            <a:srgbClr val="000000"/>
          </a:solidFill>
          <a:round/>
          <a:headEnd/>
          <a:tailEnd/>
        </a:ln>
      </xdr:spPr>
    </xdr:sp>
    <xdr:clientData/>
  </xdr:twoCellAnchor>
  <xdr:twoCellAnchor>
    <xdr:from>
      <xdr:col>1</xdr:col>
      <xdr:colOff>428625</xdr:colOff>
      <xdr:row>20</xdr:row>
      <xdr:rowOff>28575</xdr:rowOff>
    </xdr:from>
    <xdr:to>
      <xdr:col>1</xdr:col>
      <xdr:colOff>476250</xdr:colOff>
      <xdr:row>20</xdr:row>
      <xdr:rowOff>76200</xdr:rowOff>
    </xdr:to>
    <xdr:sp macro="" textlink="">
      <xdr:nvSpPr>
        <xdr:cNvPr id="24" name="Line 23"/>
        <xdr:cNvSpPr>
          <a:spLocks noChangeShapeType="1"/>
        </xdr:cNvSpPr>
      </xdr:nvSpPr>
      <xdr:spPr bwMode="auto">
        <a:xfrm flipH="1">
          <a:off x="1038225" y="3686175"/>
          <a:ext cx="47625" cy="47625"/>
        </a:xfrm>
        <a:prstGeom prst="line">
          <a:avLst/>
        </a:prstGeom>
        <a:noFill/>
        <a:ln w="9525">
          <a:solidFill>
            <a:srgbClr val="000000"/>
          </a:solidFill>
          <a:round/>
          <a:headEnd/>
          <a:tailEnd/>
        </a:ln>
      </xdr:spPr>
    </xdr:sp>
    <xdr:clientData/>
  </xdr:twoCellAnchor>
  <xdr:twoCellAnchor>
    <xdr:from>
      <xdr:col>2</xdr:col>
      <xdr:colOff>161925</xdr:colOff>
      <xdr:row>20</xdr:row>
      <xdr:rowOff>28575</xdr:rowOff>
    </xdr:from>
    <xdr:to>
      <xdr:col>2</xdr:col>
      <xdr:colOff>190500</xdr:colOff>
      <xdr:row>20</xdr:row>
      <xdr:rowOff>85725</xdr:rowOff>
    </xdr:to>
    <xdr:sp macro="" textlink="">
      <xdr:nvSpPr>
        <xdr:cNvPr id="25" name="Line 24"/>
        <xdr:cNvSpPr>
          <a:spLocks noChangeShapeType="1"/>
        </xdr:cNvSpPr>
      </xdr:nvSpPr>
      <xdr:spPr bwMode="auto">
        <a:xfrm flipH="1">
          <a:off x="1381125" y="3686175"/>
          <a:ext cx="28575" cy="57150"/>
        </a:xfrm>
        <a:prstGeom prst="line">
          <a:avLst/>
        </a:prstGeom>
        <a:noFill/>
        <a:ln w="9525">
          <a:solidFill>
            <a:srgbClr val="000000"/>
          </a:solidFill>
          <a:round/>
          <a:headEnd/>
          <a:tailEnd/>
        </a:ln>
      </xdr:spPr>
    </xdr:sp>
    <xdr:clientData/>
  </xdr:twoCellAnchor>
  <xdr:twoCellAnchor>
    <xdr:from>
      <xdr:col>6</xdr:col>
      <xdr:colOff>457200</xdr:colOff>
      <xdr:row>19</xdr:row>
      <xdr:rowOff>152400</xdr:rowOff>
    </xdr:from>
    <xdr:to>
      <xdr:col>6</xdr:col>
      <xdr:colOff>495300</xdr:colOff>
      <xdr:row>20</xdr:row>
      <xdr:rowOff>66675</xdr:rowOff>
    </xdr:to>
    <xdr:sp macro="" textlink="">
      <xdr:nvSpPr>
        <xdr:cNvPr id="26" name="Line 25"/>
        <xdr:cNvSpPr>
          <a:spLocks noChangeShapeType="1"/>
        </xdr:cNvSpPr>
      </xdr:nvSpPr>
      <xdr:spPr bwMode="auto">
        <a:xfrm flipH="1">
          <a:off x="4114800" y="3627120"/>
          <a:ext cx="38100" cy="97155"/>
        </a:xfrm>
        <a:prstGeom prst="line">
          <a:avLst/>
        </a:prstGeom>
        <a:noFill/>
        <a:ln w="9525">
          <a:solidFill>
            <a:srgbClr val="000000"/>
          </a:solidFill>
          <a:round/>
          <a:headEnd/>
          <a:tailEnd/>
        </a:ln>
      </xdr:spPr>
    </xdr:sp>
    <xdr:clientData/>
  </xdr:twoCellAnchor>
  <xdr:twoCellAnchor>
    <xdr:from>
      <xdr:col>6</xdr:col>
      <xdr:colOff>552450</xdr:colOff>
      <xdr:row>20</xdr:row>
      <xdr:rowOff>19050</xdr:rowOff>
    </xdr:from>
    <xdr:to>
      <xdr:col>6</xdr:col>
      <xdr:colOff>581025</xdr:colOff>
      <xdr:row>20</xdr:row>
      <xdr:rowOff>66675</xdr:rowOff>
    </xdr:to>
    <xdr:sp macro="" textlink="">
      <xdr:nvSpPr>
        <xdr:cNvPr id="27" name="Line 26"/>
        <xdr:cNvSpPr>
          <a:spLocks noChangeShapeType="1"/>
        </xdr:cNvSpPr>
      </xdr:nvSpPr>
      <xdr:spPr bwMode="auto">
        <a:xfrm flipH="1">
          <a:off x="4210050" y="3676650"/>
          <a:ext cx="28575" cy="47625"/>
        </a:xfrm>
        <a:prstGeom prst="line">
          <a:avLst/>
        </a:prstGeom>
        <a:noFill/>
        <a:ln w="9525">
          <a:solidFill>
            <a:srgbClr val="000000"/>
          </a:solidFill>
          <a:round/>
          <a:headEnd/>
          <a:tailEnd/>
        </a:ln>
      </xdr:spPr>
    </xdr:sp>
    <xdr:clientData/>
  </xdr:twoCellAnchor>
  <xdr:twoCellAnchor>
    <xdr:from>
      <xdr:col>1</xdr:col>
      <xdr:colOff>342900</xdr:colOff>
      <xdr:row>19</xdr:row>
      <xdr:rowOff>85725</xdr:rowOff>
    </xdr:from>
    <xdr:to>
      <xdr:col>1</xdr:col>
      <xdr:colOff>523875</xdr:colOff>
      <xdr:row>20</xdr:row>
      <xdr:rowOff>142875</xdr:rowOff>
    </xdr:to>
    <xdr:sp macro="" textlink="">
      <xdr:nvSpPr>
        <xdr:cNvPr id="28" name="Line 27"/>
        <xdr:cNvSpPr>
          <a:spLocks noChangeShapeType="1"/>
        </xdr:cNvSpPr>
      </xdr:nvSpPr>
      <xdr:spPr bwMode="auto">
        <a:xfrm>
          <a:off x="952500" y="3560445"/>
          <a:ext cx="180975" cy="240030"/>
        </a:xfrm>
        <a:prstGeom prst="line">
          <a:avLst/>
        </a:prstGeom>
        <a:noFill/>
        <a:ln w="9525">
          <a:solidFill>
            <a:srgbClr val="000000"/>
          </a:solidFill>
          <a:round/>
          <a:headEnd/>
          <a:tailEnd/>
        </a:ln>
      </xdr:spPr>
    </xdr:sp>
    <xdr:clientData/>
  </xdr:twoCellAnchor>
  <xdr:twoCellAnchor>
    <xdr:from>
      <xdr:col>1</xdr:col>
      <xdr:colOff>561975</xdr:colOff>
      <xdr:row>19</xdr:row>
      <xdr:rowOff>95250</xdr:rowOff>
    </xdr:from>
    <xdr:to>
      <xdr:col>2</xdr:col>
      <xdr:colOff>152400</xdr:colOff>
      <xdr:row>20</xdr:row>
      <xdr:rowOff>114300</xdr:rowOff>
    </xdr:to>
    <xdr:sp macro="" textlink="">
      <xdr:nvSpPr>
        <xdr:cNvPr id="29" name="Line 28"/>
        <xdr:cNvSpPr>
          <a:spLocks noChangeShapeType="1"/>
        </xdr:cNvSpPr>
      </xdr:nvSpPr>
      <xdr:spPr bwMode="auto">
        <a:xfrm>
          <a:off x="1171575" y="3569970"/>
          <a:ext cx="200025" cy="201930"/>
        </a:xfrm>
        <a:prstGeom prst="line">
          <a:avLst/>
        </a:prstGeom>
        <a:noFill/>
        <a:ln w="9525">
          <a:solidFill>
            <a:srgbClr val="000000"/>
          </a:solidFill>
          <a:round/>
          <a:headEnd/>
          <a:tailEnd/>
        </a:ln>
      </xdr:spPr>
    </xdr:sp>
    <xdr:clientData/>
  </xdr:twoCellAnchor>
  <xdr:twoCellAnchor>
    <xdr:from>
      <xdr:col>2</xdr:col>
      <xdr:colOff>247650</xdr:colOff>
      <xdr:row>19</xdr:row>
      <xdr:rowOff>85725</xdr:rowOff>
    </xdr:from>
    <xdr:to>
      <xdr:col>2</xdr:col>
      <xdr:colOff>438150</xdr:colOff>
      <xdr:row>20</xdr:row>
      <xdr:rowOff>95250</xdr:rowOff>
    </xdr:to>
    <xdr:sp macro="" textlink="">
      <xdr:nvSpPr>
        <xdr:cNvPr id="30" name="Line 29"/>
        <xdr:cNvSpPr>
          <a:spLocks noChangeShapeType="1"/>
        </xdr:cNvSpPr>
      </xdr:nvSpPr>
      <xdr:spPr bwMode="auto">
        <a:xfrm>
          <a:off x="1466850" y="3560445"/>
          <a:ext cx="190500" cy="192405"/>
        </a:xfrm>
        <a:prstGeom prst="line">
          <a:avLst/>
        </a:prstGeom>
        <a:noFill/>
        <a:ln w="9525">
          <a:solidFill>
            <a:srgbClr val="000000"/>
          </a:solidFill>
          <a:round/>
          <a:headEnd/>
          <a:tailEnd/>
        </a:ln>
      </xdr:spPr>
    </xdr:sp>
    <xdr:clientData/>
  </xdr:twoCellAnchor>
  <xdr:twoCellAnchor>
    <xdr:from>
      <xdr:col>2</xdr:col>
      <xdr:colOff>104775</xdr:colOff>
      <xdr:row>19</xdr:row>
      <xdr:rowOff>95250</xdr:rowOff>
    </xdr:from>
    <xdr:to>
      <xdr:col>2</xdr:col>
      <xdr:colOff>266700</xdr:colOff>
      <xdr:row>20</xdr:row>
      <xdr:rowOff>85725</xdr:rowOff>
    </xdr:to>
    <xdr:sp macro="" textlink="">
      <xdr:nvSpPr>
        <xdr:cNvPr id="31" name="Line 30"/>
        <xdr:cNvSpPr>
          <a:spLocks noChangeShapeType="1"/>
        </xdr:cNvSpPr>
      </xdr:nvSpPr>
      <xdr:spPr bwMode="auto">
        <a:xfrm>
          <a:off x="1323975" y="3569970"/>
          <a:ext cx="161925" cy="173355"/>
        </a:xfrm>
        <a:prstGeom prst="line">
          <a:avLst/>
        </a:prstGeom>
        <a:noFill/>
        <a:ln w="9525">
          <a:solidFill>
            <a:srgbClr val="000000"/>
          </a:solidFill>
          <a:round/>
          <a:headEnd/>
          <a:tailEnd/>
        </a:ln>
      </xdr:spPr>
    </xdr:sp>
    <xdr:clientData/>
  </xdr:twoCellAnchor>
  <xdr:twoCellAnchor>
    <xdr:from>
      <xdr:col>6</xdr:col>
      <xdr:colOff>533400</xdr:colOff>
      <xdr:row>19</xdr:row>
      <xdr:rowOff>57150</xdr:rowOff>
    </xdr:from>
    <xdr:to>
      <xdr:col>7</xdr:col>
      <xdr:colOff>57150</xdr:colOff>
      <xdr:row>20</xdr:row>
      <xdr:rowOff>104775</xdr:rowOff>
    </xdr:to>
    <xdr:sp macro="" textlink="">
      <xdr:nvSpPr>
        <xdr:cNvPr id="32" name="Line 31"/>
        <xdr:cNvSpPr>
          <a:spLocks noChangeShapeType="1"/>
        </xdr:cNvSpPr>
      </xdr:nvSpPr>
      <xdr:spPr bwMode="auto">
        <a:xfrm>
          <a:off x="4191000" y="3531870"/>
          <a:ext cx="133350" cy="230505"/>
        </a:xfrm>
        <a:prstGeom prst="line">
          <a:avLst/>
        </a:prstGeom>
        <a:noFill/>
        <a:ln w="9525">
          <a:solidFill>
            <a:srgbClr val="000000"/>
          </a:solidFill>
          <a:round/>
          <a:headEnd/>
          <a:tailEnd/>
        </a:ln>
      </xdr:spPr>
    </xdr:sp>
    <xdr:clientData/>
  </xdr:twoCellAnchor>
  <xdr:twoCellAnchor>
    <xdr:from>
      <xdr:col>7</xdr:col>
      <xdr:colOff>28575</xdr:colOff>
      <xdr:row>19</xdr:row>
      <xdr:rowOff>57150</xdr:rowOff>
    </xdr:from>
    <xdr:to>
      <xdr:col>7</xdr:col>
      <xdr:colOff>142875</xdr:colOff>
      <xdr:row>20</xdr:row>
      <xdr:rowOff>66675</xdr:rowOff>
    </xdr:to>
    <xdr:sp macro="" textlink="">
      <xdr:nvSpPr>
        <xdr:cNvPr id="33" name="Line 32"/>
        <xdr:cNvSpPr>
          <a:spLocks noChangeShapeType="1"/>
        </xdr:cNvSpPr>
      </xdr:nvSpPr>
      <xdr:spPr bwMode="auto">
        <a:xfrm>
          <a:off x="4295775" y="3531870"/>
          <a:ext cx="114300" cy="192405"/>
        </a:xfrm>
        <a:prstGeom prst="line">
          <a:avLst/>
        </a:prstGeom>
        <a:noFill/>
        <a:ln w="9525">
          <a:solidFill>
            <a:srgbClr val="000000"/>
          </a:solidFill>
          <a:round/>
          <a:headEnd/>
          <a:tailEnd/>
        </a:ln>
      </xdr:spPr>
    </xdr:sp>
    <xdr:clientData/>
  </xdr:twoCellAnchor>
  <xdr:twoCellAnchor>
    <xdr:from>
      <xdr:col>7</xdr:col>
      <xdr:colOff>161925</xdr:colOff>
      <xdr:row>19</xdr:row>
      <xdr:rowOff>66675</xdr:rowOff>
    </xdr:from>
    <xdr:to>
      <xdr:col>7</xdr:col>
      <xdr:colOff>276225</xdr:colOff>
      <xdr:row>20</xdr:row>
      <xdr:rowOff>85725</xdr:rowOff>
    </xdr:to>
    <xdr:sp macro="" textlink="">
      <xdr:nvSpPr>
        <xdr:cNvPr id="34" name="Line 33"/>
        <xdr:cNvSpPr>
          <a:spLocks noChangeShapeType="1"/>
        </xdr:cNvSpPr>
      </xdr:nvSpPr>
      <xdr:spPr bwMode="auto">
        <a:xfrm>
          <a:off x="4429125" y="3541395"/>
          <a:ext cx="114300" cy="201930"/>
        </a:xfrm>
        <a:prstGeom prst="line">
          <a:avLst/>
        </a:prstGeom>
        <a:noFill/>
        <a:ln w="9525">
          <a:solidFill>
            <a:srgbClr val="000000"/>
          </a:solidFill>
          <a:round/>
          <a:headEnd/>
          <a:tailEnd/>
        </a:ln>
      </xdr:spPr>
    </xdr:sp>
    <xdr:clientData/>
  </xdr:twoCellAnchor>
  <xdr:twoCellAnchor>
    <xdr:from>
      <xdr:col>17</xdr:col>
      <xdr:colOff>371475</xdr:colOff>
      <xdr:row>20</xdr:row>
      <xdr:rowOff>19050</xdr:rowOff>
    </xdr:from>
    <xdr:to>
      <xdr:col>17</xdr:col>
      <xdr:colOff>371475</xdr:colOff>
      <xdr:row>20</xdr:row>
      <xdr:rowOff>38100</xdr:rowOff>
    </xdr:to>
    <xdr:sp macro="" textlink="">
      <xdr:nvSpPr>
        <xdr:cNvPr id="35" name="Line 34"/>
        <xdr:cNvSpPr>
          <a:spLocks noChangeShapeType="1"/>
        </xdr:cNvSpPr>
      </xdr:nvSpPr>
      <xdr:spPr bwMode="auto">
        <a:xfrm>
          <a:off x="10955655" y="3676650"/>
          <a:ext cx="0" cy="19050"/>
        </a:xfrm>
        <a:prstGeom prst="line">
          <a:avLst/>
        </a:prstGeom>
        <a:noFill/>
        <a:ln w="9525">
          <a:solidFill>
            <a:srgbClr val="000000"/>
          </a:solidFill>
          <a:round/>
          <a:headEnd/>
          <a:tailEnd/>
        </a:ln>
      </xdr:spPr>
    </xdr:sp>
    <xdr:clientData/>
  </xdr:twoCellAnchor>
  <xdr:twoCellAnchor>
    <xdr:from>
      <xdr:col>17</xdr:col>
      <xdr:colOff>371475</xdr:colOff>
      <xdr:row>20</xdr:row>
      <xdr:rowOff>9525</xdr:rowOff>
    </xdr:from>
    <xdr:to>
      <xdr:col>17</xdr:col>
      <xdr:colOff>381000</xdr:colOff>
      <xdr:row>20</xdr:row>
      <xdr:rowOff>38100</xdr:rowOff>
    </xdr:to>
    <xdr:sp macro="" textlink="">
      <xdr:nvSpPr>
        <xdr:cNvPr id="36" name="Line 35"/>
        <xdr:cNvSpPr>
          <a:spLocks noChangeShapeType="1"/>
        </xdr:cNvSpPr>
      </xdr:nvSpPr>
      <xdr:spPr bwMode="auto">
        <a:xfrm>
          <a:off x="10955655" y="3667125"/>
          <a:ext cx="9525" cy="28575"/>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7" name="Line 36"/>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8" name="Line 37"/>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9" name="Line 38"/>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40" name="Line 39"/>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171450</xdr:colOff>
      <xdr:row>26</xdr:row>
      <xdr:rowOff>104775</xdr:rowOff>
    </xdr:from>
    <xdr:to>
      <xdr:col>6</xdr:col>
      <xdr:colOff>457200</xdr:colOff>
      <xdr:row>26</xdr:row>
      <xdr:rowOff>104775</xdr:rowOff>
    </xdr:to>
    <xdr:sp macro="" textlink="">
      <xdr:nvSpPr>
        <xdr:cNvPr id="41" name="Line 40"/>
        <xdr:cNvSpPr>
          <a:spLocks noChangeShapeType="1"/>
        </xdr:cNvSpPr>
      </xdr:nvSpPr>
      <xdr:spPr bwMode="auto">
        <a:xfrm>
          <a:off x="3829050" y="4859655"/>
          <a:ext cx="285750" cy="0"/>
        </a:xfrm>
        <a:prstGeom prst="line">
          <a:avLst/>
        </a:prstGeom>
        <a:noFill/>
        <a:ln w="9525">
          <a:solidFill>
            <a:srgbClr val="000000"/>
          </a:solidFill>
          <a:round/>
          <a:headEnd/>
          <a:tailEnd/>
        </a:ln>
      </xdr:spPr>
    </xdr:sp>
    <xdr:clientData/>
  </xdr:twoCellAnchor>
  <xdr:twoCellAnchor>
    <xdr:from>
      <xdr:col>6</xdr:col>
      <xdr:colOff>447675</xdr:colOff>
      <xdr:row>26</xdr:row>
      <xdr:rowOff>57150</xdr:rowOff>
    </xdr:from>
    <xdr:to>
      <xdr:col>6</xdr:col>
      <xdr:colOff>447675</xdr:colOff>
      <xdr:row>26</xdr:row>
      <xdr:rowOff>142875</xdr:rowOff>
    </xdr:to>
    <xdr:sp macro="" textlink="">
      <xdr:nvSpPr>
        <xdr:cNvPr id="42" name="Line 41"/>
        <xdr:cNvSpPr>
          <a:spLocks noChangeShapeType="1"/>
        </xdr:cNvSpPr>
      </xdr:nvSpPr>
      <xdr:spPr bwMode="auto">
        <a:xfrm>
          <a:off x="4105275" y="4812030"/>
          <a:ext cx="0" cy="85725"/>
        </a:xfrm>
        <a:prstGeom prst="line">
          <a:avLst/>
        </a:prstGeom>
        <a:noFill/>
        <a:ln w="9525">
          <a:solidFill>
            <a:srgbClr val="000000"/>
          </a:solidFill>
          <a:round/>
          <a:headEnd/>
          <a:tailEnd/>
        </a:ln>
      </xdr:spPr>
    </xdr:sp>
    <xdr:clientData/>
  </xdr:twoCellAnchor>
  <xdr:twoCellAnchor>
    <xdr:from>
      <xdr:col>6</xdr:col>
      <xdr:colOff>323850</xdr:colOff>
      <xdr:row>25</xdr:row>
      <xdr:rowOff>85725</xdr:rowOff>
    </xdr:from>
    <xdr:to>
      <xdr:col>6</xdr:col>
      <xdr:colOff>409575</xdr:colOff>
      <xdr:row>26</xdr:row>
      <xdr:rowOff>85725</xdr:rowOff>
    </xdr:to>
    <xdr:sp macro="" textlink="">
      <xdr:nvSpPr>
        <xdr:cNvPr id="43" name="Line 42"/>
        <xdr:cNvSpPr>
          <a:spLocks noChangeShapeType="1"/>
        </xdr:cNvSpPr>
      </xdr:nvSpPr>
      <xdr:spPr bwMode="auto">
        <a:xfrm flipV="1">
          <a:off x="3981450" y="4657725"/>
          <a:ext cx="85725" cy="182880"/>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44" name="Line 43"/>
        <xdr:cNvSpPr>
          <a:spLocks noChangeShapeType="1"/>
        </xdr:cNvSpPr>
      </xdr:nvSpPr>
      <xdr:spPr bwMode="auto">
        <a:xfrm>
          <a:off x="4095750" y="515874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45" name="Line 44"/>
        <xdr:cNvSpPr>
          <a:spLocks noChangeShapeType="1"/>
        </xdr:cNvSpPr>
      </xdr:nvSpPr>
      <xdr:spPr bwMode="auto">
        <a:xfrm>
          <a:off x="4105275" y="5273040"/>
          <a:ext cx="180975" cy="116205"/>
        </a:xfrm>
        <a:prstGeom prst="line">
          <a:avLst/>
        </a:prstGeom>
        <a:noFill/>
        <a:ln w="9525">
          <a:solidFill>
            <a:srgbClr val="000000"/>
          </a:solidFill>
          <a:round/>
          <a:headEnd/>
          <a:tailEnd/>
        </a:ln>
      </xdr:spPr>
    </xdr:sp>
    <xdr:clientData/>
  </xdr:twoCellAnchor>
  <xdr:twoCellAnchor>
    <xdr:from>
      <xdr:col>37</xdr:col>
      <xdr:colOff>9525</xdr:colOff>
      <xdr:row>34</xdr:row>
      <xdr:rowOff>142875</xdr:rowOff>
    </xdr:from>
    <xdr:to>
      <xdr:col>41</xdr:col>
      <xdr:colOff>152400</xdr:colOff>
      <xdr:row>34</xdr:row>
      <xdr:rowOff>142875</xdr:rowOff>
    </xdr:to>
    <xdr:sp macro="" textlink="">
      <xdr:nvSpPr>
        <xdr:cNvPr id="46" name="Line 45"/>
        <xdr:cNvSpPr>
          <a:spLocks noChangeShapeType="1"/>
        </xdr:cNvSpPr>
      </xdr:nvSpPr>
      <xdr:spPr bwMode="auto">
        <a:xfrm>
          <a:off x="22785705" y="6360795"/>
          <a:ext cx="2581275" cy="0"/>
        </a:xfrm>
        <a:prstGeom prst="line">
          <a:avLst/>
        </a:prstGeom>
        <a:noFill/>
        <a:ln w="9525">
          <a:solidFill>
            <a:srgbClr val="000000"/>
          </a:solidFill>
          <a:round/>
          <a:headEnd/>
          <a:tailEnd/>
        </a:ln>
      </xdr:spPr>
    </xdr:sp>
    <xdr:clientData/>
  </xdr:twoCellAnchor>
  <xdr:twoCellAnchor>
    <xdr:from>
      <xdr:col>26</xdr:col>
      <xdr:colOff>257175</xdr:colOff>
      <xdr:row>31</xdr:row>
      <xdr:rowOff>47625</xdr:rowOff>
    </xdr:from>
    <xdr:to>
      <xdr:col>26</xdr:col>
      <xdr:colOff>257175</xdr:colOff>
      <xdr:row>32</xdr:row>
      <xdr:rowOff>9525</xdr:rowOff>
    </xdr:to>
    <xdr:sp macro="" textlink="">
      <xdr:nvSpPr>
        <xdr:cNvPr id="47" name="Line 46"/>
        <xdr:cNvSpPr>
          <a:spLocks noChangeShapeType="1"/>
        </xdr:cNvSpPr>
      </xdr:nvSpPr>
      <xdr:spPr bwMode="auto">
        <a:xfrm>
          <a:off x="16327755" y="5716905"/>
          <a:ext cx="0" cy="144780"/>
        </a:xfrm>
        <a:prstGeom prst="line">
          <a:avLst/>
        </a:prstGeom>
        <a:noFill/>
        <a:ln w="9525">
          <a:solidFill>
            <a:srgbClr val="000000"/>
          </a:solidFill>
          <a:round/>
          <a:headEnd/>
          <a:tailEnd/>
        </a:ln>
      </xdr:spPr>
    </xdr:sp>
    <xdr:clientData/>
  </xdr:twoCellAnchor>
  <xdr:twoCellAnchor>
    <xdr:from>
      <xdr:col>40</xdr:col>
      <xdr:colOff>247650</xdr:colOff>
      <xdr:row>32</xdr:row>
      <xdr:rowOff>47625</xdr:rowOff>
    </xdr:from>
    <xdr:to>
      <xdr:col>40</xdr:col>
      <xdr:colOff>247650</xdr:colOff>
      <xdr:row>33</xdr:row>
      <xdr:rowOff>57150</xdr:rowOff>
    </xdr:to>
    <xdr:sp macro="" textlink="">
      <xdr:nvSpPr>
        <xdr:cNvPr id="48" name="Line 47"/>
        <xdr:cNvSpPr>
          <a:spLocks noChangeShapeType="1"/>
        </xdr:cNvSpPr>
      </xdr:nvSpPr>
      <xdr:spPr bwMode="auto">
        <a:xfrm>
          <a:off x="24852630" y="5899785"/>
          <a:ext cx="0" cy="192405"/>
        </a:xfrm>
        <a:prstGeom prst="line">
          <a:avLst/>
        </a:prstGeom>
        <a:noFill/>
        <a:ln w="9525">
          <a:solidFill>
            <a:srgbClr val="000000"/>
          </a:solidFill>
          <a:round/>
          <a:headEnd/>
          <a:tailEnd/>
        </a:ln>
      </xdr:spPr>
    </xdr:sp>
    <xdr:clientData/>
  </xdr:twoCellAnchor>
  <xdr:twoCellAnchor>
    <xdr:from>
      <xdr:col>30</xdr:col>
      <xdr:colOff>238125</xdr:colOff>
      <xdr:row>73</xdr:row>
      <xdr:rowOff>38100</xdr:rowOff>
    </xdr:from>
    <xdr:to>
      <xdr:col>30</xdr:col>
      <xdr:colOff>314325</xdr:colOff>
      <xdr:row>73</xdr:row>
      <xdr:rowOff>76200</xdr:rowOff>
    </xdr:to>
    <xdr:sp macro="" textlink="">
      <xdr:nvSpPr>
        <xdr:cNvPr id="49" name="Line 48"/>
        <xdr:cNvSpPr>
          <a:spLocks noChangeShapeType="1"/>
        </xdr:cNvSpPr>
      </xdr:nvSpPr>
      <xdr:spPr bwMode="auto">
        <a:xfrm flipH="1">
          <a:off x="18747105" y="19651980"/>
          <a:ext cx="76200" cy="38100"/>
        </a:xfrm>
        <a:prstGeom prst="line">
          <a:avLst/>
        </a:prstGeom>
        <a:noFill/>
        <a:ln w="9525">
          <a:solidFill>
            <a:srgbClr val="000000"/>
          </a:solidFill>
          <a:round/>
          <a:headEnd/>
          <a:tailEnd/>
        </a:ln>
      </xdr:spPr>
    </xdr:sp>
    <xdr:clientData/>
  </xdr:twoCellAnchor>
  <xdr:twoCellAnchor>
    <xdr:from>
      <xdr:col>34</xdr:col>
      <xdr:colOff>190500</xdr:colOff>
      <xdr:row>68</xdr:row>
      <xdr:rowOff>85725</xdr:rowOff>
    </xdr:from>
    <xdr:to>
      <xdr:col>34</xdr:col>
      <xdr:colOff>314325</xdr:colOff>
      <xdr:row>68</xdr:row>
      <xdr:rowOff>85725</xdr:rowOff>
    </xdr:to>
    <xdr:sp macro="" textlink="">
      <xdr:nvSpPr>
        <xdr:cNvPr id="50" name="Line 49"/>
        <xdr:cNvSpPr>
          <a:spLocks noChangeShapeType="1"/>
        </xdr:cNvSpPr>
      </xdr:nvSpPr>
      <xdr:spPr bwMode="auto">
        <a:xfrm>
          <a:off x="21137880" y="17634585"/>
          <a:ext cx="123825" cy="0"/>
        </a:xfrm>
        <a:prstGeom prst="line">
          <a:avLst/>
        </a:prstGeom>
        <a:noFill/>
        <a:ln w="9525">
          <a:solidFill>
            <a:srgbClr val="000000"/>
          </a:solidFill>
          <a:round/>
          <a:headEnd/>
          <a:tailEnd/>
        </a:ln>
      </xdr:spPr>
    </xdr:sp>
    <xdr:clientData/>
  </xdr:twoCellAnchor>
  <xdr:twoCellAnchor>
    <xdr:from>
      <xdr:col>3</xdr:col>
      <xdr:colOff>9525</xdr:colOff>
      <xdr:row>17</xdr:row>
      <xdr:rowOff>19050</xdr:rowOff>
    </xdr:from>
    <xdr:to>
      <xdr:col>3</xdr:col>
      <xdr:colOff>171450</xdr:colOff>
      <xdr:row>27</xdr:row>
      <xdr:rowOff>0</xdr:rowOff>
    </xdr:to>
    <xdr:sp macro="" textlink="">
      <xdr:nvSpPr>
        <xdr:cNvPr id="51" name="Rectangle 50"/>
        <xdr:cNvSpPr>
          <a:spLocks noChangeArrowheads="1"/>
        </xdr:cNvSpPr>
      </xdr:nvSpPr>
      <xdr:spPr bwMode="auto">
        <a:xfrm>
          <a:off x="1838325" y="3128010"/>
          <a:ext cx="161925" cy="1809750"/>
        </a:xfrm>
        <a:prstGeom prst="rect">
          <a:avLst/>
        </a:prstGeom>
        <a:noFill/>
        <a:ln w="9525">
          <a:solidFill>
            <a:srgbClr val="000000"/>
          </a:solidFill>
          <a:miter lim="800000"/>
          <a:headEnd/>
          <a:tailEnd/>
        </a:ln>
      </xdr:spPr>
    </xdr:sp>
    <xdr:clientData/>
  </xdr:twoCellAnchor>
  <xdr:twoCellAnchor>
    <xdr:from>
      <xdr:col>6</xdr:col>
      <xdr:colOff>9525</xdr:colOff>
      <xdr:row>17</xdr:row>
      <xdr:rowOff>19050</xdr:rowOff>
    </xdr:from>
    <xdr:to>
      <xdr:col>6</xdr:col>
      <xdr:colOff>171450</xdr:colOff>
      <xdr:row>27</xdr:row>
      <xdr:rowOff>0</xdr:rowOff>
    </xdr:to>
    <xdr:sp macro="" textlink="">
      <xdr:nvSpPr>
        <xdr:cNvPr id="52" name="Rectangle 51"/>
        <xdr:cNvSpPr>
          <a:spLocks noChangeArrowheads="1"/>
        </xdr:cNvSpPr>
      </xdr:nvSpPr>
      <xdr:spPr bwMode="auto">
        <a:xfrm>
          <a:off x="3667125" y="3128010"/>
          <a:ext cx="161925" cy="1809750"/>
        </a:xfrm>
        <a:prstGeom prst="rect">
          <a:avLst/>
        </a:prstGeom>
        <a:noFill/>
        <a:ln w="9525">
          <a:solidFill>
            <a:srgbClr val="000000"/>
          </a:solidFill>
          <a:miter lim="800000"/>
          <a:headEnd/>
          <a:tailEnd/>
        </a:ln>
      </xdr:spPr>
    </xdr:sp>
    <xdr:clientData/>
  </xdr:twoCellAnchor>
  <xdr:twoCellAnchor>
    <xdr:from>
      <xdr:col>2</xdr:col>
      <xdr:colOff>333375</xdr:colOff>
      <xdr:row>27</xdr:row>
      <xdr:rowOff>0</xdr:rowOff>
    </xdr:from>
    <xdr:to>
      <xdr:col>6</xdr:col>
      <xdr:colOff>447675</xdr:colOff>
      <xdr:row>28</xdr:row>
      <xdr:rowOff>0</xdr:rowOff>
    </xdr:to>
    <xdr:sp macro="" textlink="">
      <xdr:nvSpPr>
        <xdr:cNvPr id="53" name="Rectangle 52"/>
        <xdr:cNvSpPr>
          <a:spLocks noChangeArrowheads="1"/>
        </xdr:cNvSpPr>
      </xdr:nvSpPr>
      <xdr:spPr bwMode="auto">
        <a:xfrm>
          <a:off x="1552575" y="4937760"/>
          <a:ext cx="2552700" cy="182880"/>
        </a:xfrm>
        <a:prstGeom prst="rect">
          <a:avLst/>
        </a:prstGeom>
        <a:noFill/>
        <a:ln w="9525">
          <a:solidFill>
            <a:srgbClr val="000000"/>
          </a:solidFill>
          <a:miter lim="800000"/>
          <a:headEnd/>
          <a:tailEnd/>
        </a:ln>
      </xdr:spPr>
    </xdr:sp>
    <xdr:clientData/>
  </xdr:twoCellAnchor>
  <xdr:twoCellAnchor>
    <xdr:from>
      <xdr:col>2</xdr:col>
      <xdr:colOff>333375</xdr:colOff>
      <xdr:row>28</xdr:row>
      <xdr:rowOff>9525</xdr:rowOff>
    </xdr:from>
    <xdr:to>
      <xdr:col>6</xdr:col>
      <xdr:colOff>447675</xdr:colOff>
      <xdr:row>28</xdr:row>
      <xdr:rowOff>95250</xdr:rowOff>
    </xdr:to>
    <xdr:sp macro="" textlink="">
      <xdr:nvSpPr>
        <xdr:cNvPr id="54" name="Rectangle 53"/>
        <xdr:cNvSpPr>
          <a:spLocks noChangeArrowheads="1"/>
        </xdr:cNvSpPr>
      </xdr:nvSpPr>
      <xdr:spPr bwMode="auto">
        <a:xfrm>
          <a:off x="1552575" y="5130165"/>
          <a:ext cx="2552700" cy="85725"/>
        </a:xfrm>
        <a:prstGeom prst="rect">
          <a:avLst/>
        </a:prstGeom>
        <a:noFill/>
        <a:ln w="9525">
          <a:solidFill>
            <a:srgbClr val="000000"/>
          </a:solidFill>
          <a:miter lim="800000"/>
          <a:headEnd/>
          <a:tailEnd/>
        </a:ln>
      </xdr:spPr>
    </xdr:sp>
    <xdr:clientData/>
  </xdr:twoCellAnchor>
  <xdr:twoCellAnchor>
    <xdr:from>
      <xdr:col>2</xdr:col>
      <xdr:colOff>342900</xdr:colOff>
      <xdr:row>28</xdr:row>
      <xdr:rowOff>104775</xdr:rowOff>
    </xdr:from>
    <xdr:to>
      <xdr:col>6</xdr:col>
      <xdr:colOff>447675</xdr:colOff>
      <xdr:row>29</xdr:row>
      <xdr:rowOff>38100</xdr:rowOff>
    </xdr:to>
    <xdr:sp macro="" textlink="">
      <xdr:nvSpPr>
        <xdr:cNvPr id="55" name="Rectangle 54"/>
        <xdr:cNvSpPr>
          <a:spLocks noChangeArrowheads="1"/>
        </xdr:cNvSpPr>
      </xdr:nvSpPr>
      <xdr:spPr bwMode="auto">
        <a:xfrm>
          <a:off x="1562100" y="5225415"/>
          <a:ext cx="2543175" cy="116205"/>
        </a:xfrm>
        <a:prstGeom prst="rect">
          <a:avLst/>
        </a:prstGeom>
        <a:noFill/>
        <a:ln w="9525">
          <a:solidFill>
            <a:srgbClr val="000000"/>
          </a:solidFill>
          <a:miter lim="800000"/>
          <a:headEnd/>
          <a:tailEnd/>
        </a:ln>
      </xdr:spPr>
    </xdr:sp>
    <xdr:clientData/>
  </xdr:twoCellAnchor>
  <xdr:twoCellAnchor>
    <xdr:from>
      <xdr:col>18</xdr:col>
      <xdr:colOff>0</xdr:colOff>
      <xdr:row>19</xdr:row>
      <xdr:rowOff>142875</xdr:rowOff>
    </xdr:from>
    <xdr:to>
      <xdr:col>18</xdr:col>
      <xdr:colOff>0</xdr:colOff>
      <xdr:row>19</xdr:row>
      <xdr:rowOff>152400</xdr:rowOff>
    </xdr:to>
    <xdr:sp macro="" textlink="">
      <xdr:nvSpPr>
        <xdr:cNvPr id="56" name="Arc 55"/>
        <xdr:cNvSpPr>
          <a:spLocks/>
        </xdr:cNvSpPr>
      </xdr:nvSpPr>
      <xdr:spPr bwMode="auto">
        <a:xfrm>
          <a:off x="11193780" y="3617595"/>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23</xdr:row>
      <xdr:rowOff>95250</xdr:rowOff>
    </xdr:from>
    <xdr:to>
      <xdr:col>4</xdr:col>
      <xdr:colOff>352425</xdr:colOff>
      <xdr:row>23</xdr:row>
      <xdr:rowOff>95250</xdr:rowOff>
    </xdr:to>
    <xdr:sp macro="" textlink="">
      <xdr:nvSpPr>
        <xdr:cNvPr id="57" name="Line 56"/>
        <xdr:cNvSpPr>
          <a:spLocks noChangeShapeType="1"/>
        </xdr:cNvSpPr>
      </xdr:nvSpPr>
      <xdr:spPr bwMode="auto">
        <a:xfrm>
          <a:off x="2000250" y="4301490"/>
          <a:ext cx="790575" cy="0"/>
        </a:xfrm>
        <a:prstGeom prst="line">
          <a:avLst/>
        </a:prstGeom>
        <a:noFill/>
        <a:ln w="9525">
          <a:solidFill>
            <a:srgbClr val="000000"/>
          </a:solidFill>
          <a:round/>
          <a:headEnd/>
          <a:tailEnd/>
        </a:ln>
      </xdr:spPr>
    </xdr:sp>
    <xdr:clientData/>
  </xdr:twoCellAnchor>
  <xdr:twoCellAnchor>
    <xdr:from>
      <xdr:col>5</xdr:col>
      <xdr:colOff>76200</xdr:colOff>
      <xdr:row>23</xdr:row>
      <xdr:rowOff>104775</xdr:rowOff>
    </xdr:from>
    <xdr:to>
      <xdr:col>5</xdr:col>
      <xdr:colOff>600075</xdr:colOff>
      <xdr:row>23</xdr:row>
      <xdr:rowOff>104775</xdr:rowOff>
    </xdr:to>
    <xdr:sp macro="" textlink="">
      <xdr:nvSpPr>
        <xdr:cNvPr id="58" name="Line 57"/>
        <xdr:cNvSpPr>
          <a:spLocks noChangeShapeType="1"/>
        </xdr:cNvSpPr>
      </xdr:nvSpPr>
      <xdr:spPr bwMode="auto">
        <a:xfrm flipH="1">
          <a:off x="3124200" y="4311015"/>
          <a:ext cx="523875" cy="0"/>
        </a:xfrm>
        <a:prstGeom prst="line">
          <a:avLst/>
        </a:prstGeom>
        <a:noFill/>
        <a:ln w="9525">
          <a:solidFill>
            <a:srgbClr val="000000"/>
          </a:solidFill>
          <a:round/>
          <a:headEnd/>
          <a:tailEnd/>
        </a:ln>
      </xdr:spPr>
    </xdr:sp>
    <xdr:clientData/>
  </xdr:twoCellAnchor>
  <xdr:twoCellAnchor>
    <xdr:from>
      <xdr:col>1</xdr:col>
      <xdr:colOff>152400</xdr:colOff>
      <xdr:row>19</xdr:row>
      <xdr:rowOff>76200</xdr:rowOff>
    </xdr:from>
    <xdr:to>
      <xdr:col>2</xdr:col>
      <xdr:colOff>600075</xdr:colOff>
      <xdr:row>19</xdr:row>
      <xdr:rowOff>76200</xdr:rowOff>
    </xdr:to>
    <xdr:sp macro="" textlink="">
      <xdr:nvSpPr>
        <xdr:cNvPr id="59" name="Line 58"/>
        <xdr:cNvSpPr>
          <a:spLocks noChangeShapeType="1"/>
        </xdr:cNvSpPr>
      </xdr:nvSpPr>
      <xdr:spPr bwMode="auto">
        <a:xfrm>
          <a:off x="762000" y="3550920"/>
          <a:ext cx="1057275" cy="0"/>
        </a:xfrm>
        <a:prstGeom prst="line">
          <a:avLst/>
        </a:prstGeom>
        <a:noFill/>
        <a:ln w="9525">
          <a:solidFill>
            <a:srgbClr val="000000"/>
          </a:solidFill>
          <a:round/>
          <a:headEnd/>
          <a:tailEnd/>
        </a:ln>
      </xdr:spPr>
    </xdr:sp>
    <xdr:clientData/>
  </xdr:twoCellAnchor>
  <xdr:twoCellAnchor>
    <xdr:from>
      <xdr:col>6</xdr:col>
      <xdr:colOff>190500</xdr:colOff>
      <xdr:row>19</xdr:row>
      <xdr:rowOff>66675</xdr:rowOff>
    </xdr:from>
    <xdr:to>
      <xdr:col>7</xdr:col>
      <xdr:colOff>314325</xdr:colOff>
      <xdr:row>19</xdr:row>
      <xdr:rowOff>66675</xdr:rowOff>
    </xdr:to>
    <xdr:sp macro="" textlink="">
      <xdr:nvSpPr>
        <xdr:cNvPr id="60" name="Line 59"/>
        <xdr:cNvSpPr>
          <a:spLocks noChangeShapeType="1"/>
        </xdr:cNvSpPr>
      </xdr:nvSpPr>
      <xdr:spPr bwMode="auto">
        <a:xfrm>
          <a:off x="3848100" y="3541395"/>
          <a:ext cx="733425" cy="0"/>
        </a:xfrm>
        <a:prstGeom prst="line">
          <a:avLst/>
        </a:prstGeom>
        <a:noFill/>
        <a:ln w="9525">
          <a:solidFill>
            <a:srgbClr val="000000"/>
          </a:solidFill>
          <a:round/>
          <a:headEnd/>
          <a:tailEnd/>
        </a:ln>
      </xdr:spPr>
    </xdr:sp>
    <xdr:clientData/>
  </xdr:twoCellAnchor>
  <xdr:twoCellAnchor>
    <xdr:from>
      <xdr:col>3</xdr:col>
      <xdr:colOff>152400</xdr:colOff>
      <xdr:row>23</xdr:row>
      <xdr:rowOff>38100</xdr:rowOff>
    </xdr:from>
    <xdr:to>
      <xdr:col>3</xdr:col>
      <xdr:colOff>247650</xdr:colOff>
      <xdr:row>23</xdr:row>
      <xdr:rowOff>114300</xdr:rowOff>
    </xdr:to>
    <xdr:sp macro="" textlink="">
      <xdr:nvSpPr>
        <xdr:cNvPr id="61" name="Line 60"/>
        <xdr:cNvSpPr>
          <a:spLocks noChangeShapeType="1"/>
        </xdr:cNvSpPr>
      </xdr:nvSpPr>
      <xdr:spPr bwMode="auto">
        <a:xfrm flipV="1">
          <a:off x="1981200" y="4244340"/>
          <a:ext cx="95250" cy="76200"/>
        </a:xfrm>
        <a:prstGeom prst="line">
          <a:avLst/>
        </a:prstGeom>
        <a:noFill/>
        <a:ln w="9525">
          <a:solidFill>
            <a:srgbClr val="000000"/>
          </a:solidFill>
          <a:round/>
          <a:headEnd/>
          <a:tailEnd/>
        </a:ln>
      </xdr:spPr>
    </xdr:sp>
    <xdr:clientData/>
  </xdr:twoCellAnchor>
  <xdr:twoCellAnchor>
    <xdr:from>
      <xdr:col>5</xdr:col>
      <xdr:colOff>590550</xdr:colOff>
      <xdr:row>23</xdr:row>
      <xdr:rowOff>47625</xdr:rowOff>
    </xdr:from>
    <xdr:to>
      <xdr:col>6</xdr:col>
      <xdr:colOff>66675</xdr:colOff>
      <xdr:row>23</xdr:row>
      <xdr:rowOff>142875</xdr:rowOff>
    </xdr:to>
    <xdr:sp macro="" textlink="">
      <xdr:nvSpPr>
        <xdr:cNvPr id="62" name="Line 61"/>
        <xdr:cNvSpPr>
          <a:spLocks noChangeShapeType="1"/>
        </xdr:cNvSpPr>
      </xdr:nvSpPr>
      <xdr:spPr bwMode="auto">
        <a:xfrm flipV="1">
          <a:off x="3638550" y="4253865"/>
          <a:ext cx="85725" cy="95250"/>
        </a:xfrm>
        <a:prstGeom prst="line">
          <a:avLst/>
        </a:prstGeom>
        <a:noFill/>
        <a:ln w="9525">
          <a:solidFill>
            <a:srgbClr val="000000"/>
          </a:solidFill>
          <a:round/>
          <a:headEnd/>
          <a:tailEnd/>
        </a:ln>
      </xdr:spPr>
    </xdr:sp>
    <xdr:clientData/>
  </xdr:twoCellAnchor>
  <xdr:twoCellAnchor>
    <xdr:from>
      <xdr:col>6</xdr:col>
      <xdr:colOff>495300</xdr:colOff>
      <xdr:row>19</xdr:row>
      <xdr:rowOff>57150</xdr:rowOff>
    </xdr:from>
    <xdr:to>
      <xdr:col>6</xdr:col>
      <xdr:colOff>561975</xdr:colOff>
      <xdr:row>20</xdr:row>
      <xdr:rowOff>9525</xdr:rowOff>
    </xdr:to>
    <xdr:sp macro="" textlink="">
      <xdr:nvSpPr>
        <xdr:cNvPr id="63" name="Line 62"/>
        <xdr:cNvSpPr>
          <a:spLocks noChangeShapeType="1"/>
        </xdr:cNvSpPr>
      </xdr:nvSpPr>
      <xdr:spPr bwMode="auto">
        <a:xfrm flipH="1">
          <a:off x="4152900" y="3531870"/>
          <a:ext cx="66675" cy="135255"/>
        </a:xfrm>
        <a:prstGeom prst="line">
          <a:avLst/>
        </a:prstGeom>
        <a:noFill/>
        <a:ln w="9525">
          <a:solidFill>
            <a:srgbClr val="000000"/>
          </a:solidFill>
          <a:round/>
          <a:headEnd/>
          <a:tailEnd/>
        </a:ln>
      </xdr:spPr>
    </xdr:sp>
    <xdr:clientData/>
  </xdr:twoCellAnchor>
  <xdr:twoCellAnchor>
    <xdr:from>
      <xdr:col>6</xdr:col>
      <xdr:colOff>571500</xdr:colOff>
      <xdr:row>19</xdr:row>
      <xdr:rowOff>76200</xdr:rowOff>
    </xdr:from>
    <xdr:to>
      <xdr:col>7</xdr:col>
      <xdr:colOff>19050</xdr:colOff>
      <xdr:row>20</xdr:row>
      <xdr:rowOff>38100</xdr:rowOff>
    </xdr:to>
    <xdr:sp macro="" textlink="">
      <xdr:nvSpPr>
        <xdr:cNvPr id="64" name="Line 63"/>
        <xdr:cNvSpPr>
          <a:spLocks noChangeShapeType="1"/>
        </xdr:cNvSpPr>
      </xdr:nvSpPr>
      <xdr:spPr bwMode="auto">
        <a:xfrm flipH="1">
          <a:off x="4229100" y="3550920"/>
          <a:ext cx="57150" cy="144780"/>
        </a:xfrm>
        <a:prstGeom prst="line">
          <a:avLst/>
        </a:prstGeom>
        <a:noFill/>
        <a:ln w="9525">
          <a:solidFill>
            <a:srgbClr val="000000"/>
          </a:solidFill>
          <a:round/>
          <a:headEnd/>
          <a:tailEnd/>
        </a:ln>
      </xdr:spPr>
    </xdr:sp>
    <xdr:clientData/>
  </xdr:twoCellAnchor>
  <xdr:twoCellAnchor>
    <xdr:from>
      <xdr:col>7</xdr:col>
      <xdr:colOff>76200</xdr:colOff>
      <xdr:row>19</xdr:row>
      <xdr:rowOff>57150</xdr:rowOff>
    </xdr:from>
    <xdr:to>
      <xdr:col>7</xdr:col>
      <xdr:colOff>152400</xdr:colOff>
      <xdr:row>20</xdr:row>
      <xdr:rowOff>76200</xdr:rowOff>
    </xdr:to>
    <xdr:sp macro="" textlink="">
      <xdr:nvSpPr>
        <xdr:cNvPr id="65" name="Line 64"/>
        <xdr:cNvSpPr>
          <a:spLocks noChangeShapeType="1"/>
        </xdr:cNvSpPr>
      </xdr:nvSpPr>
      <xdr:spPr bwMode="auto">
        <a:xfrm flipH="1">
          <a:off x="4343400" y="3531870"/>
          <a:ext cx="76200" cy="201930"/>
        </a:xfrm>
        <a:prstGeom prst="line">
          <a:avLst/>
        </a:prstGeom>
        <a:noFill/>
        <a:ln w="9525">
          <a:solidFill>
            <a:srgbClr val="000000"/>
          </a:solidFill>
          <a:round/>
          <a:headEnd/>
          <a:tailEnd/>
        </a:ln>
      </xdr:spPr>
    </xdr:sp>
    <xdr:clientData/>
  </xdr:twoCellAnchor>
  <xdr:twoCellAnchor>
    <xdr:from>
      <xdr:col>7</xdr:col>
      <xdr:colOff>171450</xdr:colOff>
      <xdr:row>19</xdr:row>
      <xdr:rowOff>66675</xdr:rowOff>
    </xdr:from>
    <xdr:to>
      <xdr:col>7</xdr:col>
      <xdr:colOff>276225</xdr:colOff>
      <xdr:row>20</xdr:row>
      <xdr:rowOff>123825</xdr:rowOff>
    </xdr:to>
    <xdr:sp macro="" textlink="">
      <xdr:nvSpPr>
        <xdr:cNvPr id="66" name="Line 65"/>
        <xdr:cNvSpPr>
          <a:spLocks noChangeShapeType="1"/>
        </xdr:cNvSpPr>
      </xdr:nvSpPr>
      <xdr:spPr bwMode="auto">
        <a:xfrm flipH="1">
          <a:off x="4438650" y="3541395"/>
          <a:ext cx="104775" cy="240030"/>
        </a:xfrm>
        <a:prstGeom prst="line">
          <a:avLst/>
        </a:prstGeom>
        <a:noFill/>
        <a:ln w="9525">
          <a:solidFill>
            <a:srgbClr val="000000"/>
          </a:solidFill>
          <a:round/>
          <a:headEnd/>
          <a:tailEnd/>
        </a:ln>
      </xdr:spPr>
    </xdr:sp>
    <xdr:clientData/>
  </xdr:twoCellAnchor>
  <xdr:twoCellAnchor>
    <xdr:from>
      <xdr:col>2</xdr:col>
      <xdr:colOff>28575</xdr:colOff>
      <xdr:row>19</xdr:row>
      <xdr:rowOff>85725</xdr:rowOff>
    </xdr:from>
    <xdr:to>
      <xdr:col>2</xdr:col>
      <xdr:colOff>104775</xdr:colOff>
      <xdr:row>20</xdr:row>
      <xdr:rowOff>9525</xdr:rowOff>
    </xdr:to>
    <xdr:sp macro="" textlink="">
      <xdr:nvSpPr>
        <xdr:cNvPr id="67" name="Line 66"/>
        <xdr:cNvSpPr>
          <a:spLocks noChangeShapeType="1"/>
        </xdr:cNvSpPr>
      </xdr:nvSpPr>
      <xdr:spPr bwMode="auto">
        <a:xfrm flipH="1">
          <a:off x="1247775" y="3560445"/>
          <a:ext cx="76200" cy="106680"/>
        </a:xfrm>
        <a:prstGeom prst="line">
          <a:avLst/>
        </a:prstGeom>
        <a:noFill/>
        <a:ln w="9525">
          <a:solidFill>
            <a:srgbClr val="000000"/>
          </a:solidFill>
          <a:round/>
          <a:headEnd/>
          <a:tailEnd/>
        </a:ln>
      </xdr:spPr>
    </xdr:sp>
    <xdr:clientData/>
  </xdr:twoCellAnchor>
  <xdr:twoCellAnchor>
    <xdr:from>
      <xdr:col>2</xdr:col>
      <xdr:colOff>171450</xdr:colOff>
      <xdr:row>19</xdr:row>
      <xdr:rowOff>85725</xdr:rowOff>
    </xdr:from>
    <xdr:to>
      <xdr:col>2</xdr:col>
      <xdr:colOff>247650</xdr:colOff>
      <xdr:row>20</xdr:row>
      <xdr:rowOff>57150</xdr:rowOff>
    </xdr:to>
    <xdr:sp macro="" textlink="">
      <xdr:nvSpPr>
        <xdr:cNvPr id="68" name="Line 67"/>
        <xdr:cNvSpPr>
          <a:spLocks noChangeShapeType="1"/>
        </xdr:cNvSpPr>
      </xdr:nvSpPr>
      <xdr:spPr bwMode="auto">
        <a:xfrm flipH="1">
          <a:off x="1390650" y="3560445"/>
          <a:ext cx="76200" cy="154305"/>
        </a:xfrm>
        <a:prstGeom prst="line">
          <a:avLst/>
        </a:prstGeom>
        <a:noFill/>
        <a:ln w="9525">
          <a:solidFill>
            <a:srgbClr val="000000"/>
          </a:solidFill>
          <a:round/>
          <a:headEnd/>
          <a:tailEnd/>
        </a:ln>
      </xdr:spPr>
    </xdr:sp>
    <xdr:clientData/>
  </xdr:twoCellAnchor>
  <xdr:twoCellAnchor>
    <xdr:from>
      <xdr:col>2</xdr:col>
      <xdr:colOff>352425</xdr:colOff>
      <xdr:row>19</xdr:row>
      <xdr:rowOff>85725</xdr:rowOff>
    </xdr:from>
    <xdr:to>
      <xdr:col>2</xdr:col>
      <xdr:colOff>409575</xdr:colOff>
      <xdr:row>20</xdr:row>
      <xdr:rowOff>66675</xdr:rowOff>
    </xdr:to>
    <xdr:sp macro="" textlink="">
      <xdr:nvSpPr>
        <xdr:cNvPr id="69" name="Line 68"/>
        <xdr:cNvSpPr>
          <a:spLocks noChangeShapeType="1"/>
        </xdr:cNvSpPr>
      </xdr:nvSpPr>
      <xdr:spPr bwMode="auto">
        <a:xfrm flipH="1">
          <a:off x="1571625" y="3560445"/>
          <a:ext cx="57150" cy="163830"/>
        </a:xfrm>
        <a:prstGeom prst="line">
          <a:avLst/>
        </a:prstGeom>
        <a:noFill/>
        <a:ln w="9525">
          <a:solidFill>
            <a:srgbClr val="000000"/>
          </a:solidFill>
          <a:round/>
          <a:headEnd/>
          <a:tailEnd/>
        </a:ln>
      </xdr:spPr>
    </xdr:sp>
    <xdr:clientData/>
  </xdr:twoCellAnchor>
  <xdr:twoCellAnchor>
    <xdr:from>
      <xdr:col>1</xdr:col>
      <xdr:colOff>457200</xdr:colOff>
      <xdr:row>19</xdr:row>
      <xdr:rowOff>76200</xdr:rowOff>
    </xdr:from>
    <xdr:to>
      <xdr:col>1</xdr:col>
      <xdr:colOff>561975</xdr:colOff>
      <xdr:row>20</xdr:row>
      <xdr:rowOff>47625</xdr:rowOff>
    </xdr:to>
    <xdr:sp macro="" textlink="">
      <xdr:nvSpPr>
        <xdr:cNvPr id="70" name="Line 69"/>
        <xdr:cNvSpPr>
          <a:spLocks noChangeShapeType="1"/>
        </xdr:cNvSpPr>
      </xdr:nvSpPr>
      <xdr:spPr bwMode="auto">
        <a:xfrm flipH="1">
          <a:off x="1066800" y="3550920"/>
          <a:ext cx="104775" cy="154305"/>
        </a:xfrm>
        <a:prstGeom prst="line">
          <a:avLst/>
        </a:prstGeom>
        <a:noFill/>
        <a:ln w="9525">
          <a:solidFill>
            <a:srgbClr val="000000"/>
          </a:solidFill>
          <a:round/>
          <a:headEnd/>
          <a:tailEnd/>
        </a:ln>
      </xdr:spPr>
    </xdr:sp>
    <xdr:clientData/>
  </xdr:twoCellAnchor>
  <xdr:twoCellAnchor>
    <xdr:from>
      <xdr:col>1</xdr:col>
      <xdr:colOff>247650</xdr:colOff>
      <xdr:row>19</xdr:row>
      <xdr:rowOff>85725</xdr:rowOff>
    </xdr:from>
    <xdr:to>
      <xdr:col>1</xdr:col>
      <xdr:colOff>352425</xdr:colOff>
      <xdr:row>20</xdr:row>
      <xdr:rowOff>104775</xdr:rowOff>
    </xdr:to>
    <xdr:sp macro="" textlink="">
      <xdr:nvSpPr>
        <xdr:cNvPr id="71" name="Line 70"/>
        <xdr:cNvSpPr>
          <a:spLocks noChangeShapeType="1"/>
        </xdr:cNvSpPr>
      </xdr:nvSpPr>
      <xdr:spPr bwMode="auto">
        <a:xfrm flipH="1">
          <a:off x="857250" y="3560445"/>
          <a:ext cx="104775" cy="201930"/>
        </a:xfrm>
        <a:prstGeom prst="line">
          <a:avLst/>
        </a:prstGeom>
        <a:noFill/>
        <a:ln w="9525">
          <a:solidFill>
            <a:srgbClr val="000000"/>
          </a:solidFill>
          <a:round/>
          <a:headEnd/>
          <a:tailEnd/>
        </a:ln>
      </xdr:spPr>
    </xdr:sp>
    <xdr:clientData/>
  </xdr:twoCellAnchor>
  <xdr:twoCellAnchor>
    <xdr:from>
      <xdr:col>1</xdr:col>
      <xdr:colOff>590550</xdr:colOff>
      <xdr:row>20</xdr:row>
      <xdr:rowOff>9525</xdr:rowOff>
    </xdr:from>
    <xdr:to>
      <xdr:col>2</xdr:col>
      <xdr:colOff>47625</xdr:colOff>
      <xdr:row>20</xdr:row>
      <xdr:rowOff>95250</xdr:rowOff>
    </xdr:to>
    <xdr:sp macro="" textlink="">
      <xdr:nvSpPr>
        <xdr:cNvPr id="72" name="Line 71"/>
        <xdr:cNvSpPr>
          <a:spLocks noChangeShapeType="1"/>
        </xdr:cNvSpPr>
      </xdr:nvSpPr>
      <xdr:spPr bwMode="auto">
        <a:xfrm flipH="1">
          <a:off x="1200150" y="3667125"/>
          <a:ext cx="66675" cy="85725"/>
        </a:xfrm>
        <a:prstGeom prst="line">
          <a:avLst/>
        </a:prstGeom>
        <a:noFill/>
        <a:ln w="9525">
          <a:solidFill>
            <a:srgbClr val="000000"/>
          </a:solidFill>
          <a:round/>
          <a:headEnd/>
          <a:tailEnd/>
        </a:ln>
      </xdr:spPr>
    </xdr:sp>
    <xdr:clientData/>
  </xdr:twoCellAnchor>
  <xdr:twoCellAnchor>
    <xdr:from>
      <xdr:col>1</xdr:col>
      <xdr:colOff>428625</xdr:colOff>
      <xdr:row>20</xdr:row>
      <xdr:rowOff>28575</xdr:rowOff>
    </xdr:from>
    <xdr:to>
      <xdr:col>1</xdr:col>
      <xdr:colOff>476250</xdr:colOff>
      <xdr:row>20</xdr:row>
      <xdr:rowOff>76200</xdr:rowOff>
    </xdr:to>
    <xdr:sp macro="" textlink="">
      <xdr:nvSpPr>
        <xdr:cNvPr id="73" name="Line 72"/>
        <xdr:cNvSpPr>
          <a:spLocks noChangeShapeType="1"/>
        </xdr:cNvSpPr>
      </xdr:nvSpPr>
      <xdr:spPr bwMode="auto">
        <a:xfrm flipH="1">
          <a:off x="1038225" y="3686175"/>
          <a:ext cx="47625" cy="47625"/>
        </a:xfrm>
        <a:prstGeom prst="line">
          <a:avLst/>
        </a:prstGeom>
        <a:noFill/>
        <a:ln w="9525">
          <a:solidFill>
            <a:srgbClr val="000000"/>
          </a:solidFill>
          <a:round/>
          <a:headEnd/>
          <a:tailEnd/>
        </a:ln>
      </xdr:spPr>
    </xdr:sp>
    <xdr:clientData/>
  </xdr:twoCellAnchor>
  <xdr:twoCellAnchor>
    <xdr:from>
      <xdr:col>2</xdr:col>
      <xdr:colOff>161925</xdr:colOff>
      <xdr:row>20</xdr:row>
      <xdr:rowOff>28575</xdr:rowOff>
    </xdr:from>
    <xdr:to>
      <xdr:col>2</xdr:col>
      <xdr:colOff>190500</xdr:colOff>
      <xdr:row>20</xdr:row>
      <xdr:rowOff>85725</xdr:rowOff>
    </xdr:to>
    <xdr:sp macro="" textlink="">
      <xdr:nvSpPr>
        <xdr:cNvPr id="74" name="Line 73"/>
        <xdr:cNvSpPr>
          <a:spLocks noChangeShapeType="1"/>
        </xdr:cNvSpPr>
      </xdr:nvSpPr>
      <xdr:spPr bwMode="auto">
        <a:xfrm flipH="1">
          <a:off x="1381125" y="3686175"/>
          <a:ext cx="28575" cy="57150"/>
        </a:xfrm>
        <a:prstGeom prst="line">
          <a:avLst/>
        </a:prstGeom>
        <a:noFill/>
        <a:ln w="9525">
          <a:solidFill>
            <a:srgbClr val="000000"/>
          </a:solidFill>
          <a:round/>
          <a:headEnd/>
          <a:tailEnd/>
        </a:ln>
      </xdr:spPr>
    </xdr:sp>
    <xdr:clientData/>
  </xdr:twoCellAnchor>
  <xdr:twoCellAnchor>
    <xdr:from>
      <xdr:col>6</xdr:col>
      <xdr:colOff>457200</xdr:colOff>
      <xdr:row>19</xdr:row>
      <xdr:rowOff>152400</xdr:rowOff>
    </xdr:from>
    <xdr:to>
      <xdr:col>6</xdr:col>
      <xdr:colOff>495300</xdr:colOff>
      <xdr:row>20</xdr:row>
      <xdr:rowOff>66675</xdr:rowOff>
    </xdr:to>
    <xdr:sp macro="" textlink="">
      <xdr:nvSpPr>
        <xdr:cNvPr id="75" name="Line 74"/>
        <xdr:cNvSpPr>
          <a:spLocks noChangeShapeType="1"/>
        </xdr:cNvSpPr>
      </xdr:nvSpPr>
      <xdr:spPr bwMode="auto">
        <a:xfrm flipH="1">
          <a:off x="4114800" y="3627120"/>
          <a:ext cx="38100" cy="97155"/>
        </a:xfrm>
        <a:prstGeom prst="line">
          <a:avLst/>
        </a:prstGeom>
        <a:noFill/>
        <a:ln w="9525">
          <a:solidFill>
            <a:srgbClr val="000000"/>
          </a:solidFill>
          <a:round/>
          <a:headEnd/>
          <a:tailEnd/>
        </a:ln>
      </xdr:spPr>
    </xdr:sp>
    <xdr:clientData/>
  </xdr:twoCellAnchor>
  <xdr:twoCellAnchor>
    <xdr:from>
      <xdr:col>6</xdr:col>
      <xdr:colOff>552450</xdr:colOff>
      <xdr:row>20</xdr:row>
      <xdr:rowOff>19050</xdr:rowOff>
    </xdr:from>
    <xdr:to>
      <xdr:col>6</xdr:col>
      <xdr:colOff>581025</xdr:colOff>
      <xdr:row>20</xdr:row>
      <xdr:rowOff>66675</xdr:rowOff>
    </xdr:to>
    <xdr:sp macro="" textlink="">
      <xdr:nvSpPr>
        <xdr:cNvPr id="76" name="Line 75"/>
        <xdr:cNvSpPr>
          <a:spLocks noChangeShapeType="1"/>
        </xdr:cNvSpPr>
      </xdr:nvSpPr>
      <xdr:spPr bwMode="auto">
        <a:xfrm flipH="1">
          <a:off x="4210050" y="3676650"/>
          <a:ext cx="28575" cy="47625"/>
        </a:xfrm>
        <a:prstGeom prst="line">
          <a:avLst/>
        </a:prstGeom>
        <a:noFill/>
        <a:ln w="9525">
          <a:solidFill>
            <a:srgbClr val="000000"/>
          </a:solidFill>
          <a:round/>
          <a:headEnd/>
          <a:tailEnd/>
        </a:ln>
      </xdr:spPr>
    </xdr:sp>
    <xdr:clientData/>
  </xdr:twoCellAnchor>
  <xdr:twoCellAnchor>
    <xdr:from>
      <xdr:col>1</xdr:col>
      <xdr:colOff>342900</xdr:colOff>
      <xdr:row>19</xdr:row>
      <xdr:rowOff>85725</xdr:rowOff>
    </xdr:from>
    <xdr:to>
      <xdr:col>1</xdr:col>
      <xdr:colOff>523875</xdr:colOff>
      <xdr:row>20</xdr:row>
      <xdr:rowOff>142875</xdr:rowOff>
    </xdr:to>
    <xdr:sp macro="" textlink="">
      <xdr:nvSpPr>
        <xdr:cNvPr id="77" name="Line 76"/>
        <xdr:cNvSpPr>
          <a:spLocks noChangeShapeType="1"/>
        </xdr:cNvSpPr>
      </xdr:nvSpPr>
      <xdr:spPr bwMode="auto">
        <a:xfrm>
          <a:off x="952500" y="3560445"/>
          <a:ext cx="180975" cy="240030"/>
        </a:xfrm>
        <a:prstGeom prst="line">
          <a:avLst/>
        </a:prstGeom>
        <a:noFill/>
        <a:ln w="9525">
          <a:solidFill>
            <a:srgbClr val="000000"/>
          </a:solidFill>
          <a:round/>
          <a:headEnd/>
          <a:tailEnd/>
        </a:ln>
      </xdr:spPr>
    </xdr:sp>
    <xdr:clientData/>
  </xdr:twoCellAnchor>
  <xdr:twoCellAnchor>
    <xdr:from>
      <xdr:col>1</xdr:col>
      <xdr:colOff>561975</xdr:colOff>
      <xdr:row>19</xdr:row>
      <xdr:rowOff>95250</xdr:rowOff>
    </xdr:from>
    <xdr:to>
      <xdr:col>2</xdr:col>
      <xdr:colOff>152400</xdr:colOff>
      <xdr:row>20</xdr:row>
      <xdr:rowOff>114300</xdr:rowOff>
    </xdr:to>
    <xdr:sp macro="" textlink="">
      <xdr:nvSpPr>
        <xdr:cNvPr id="78" name="Line 77"/>
        <xdr:cNvSpPr>
          <a:spLocks noChangeShapeType="1"/>
        </xdr:cNvSpPr>
      </xdr:nvSpPr>
      <xdr:spPr bwMode="auto">
        <a:xfrm>
          <a:off x="1171575" y="3569970"/>
          <a:ext cx="200025" cy="201930"/>
        </a:xfrm>
        <a:prstGeom prst="line">
          <a:avLst/>
        </a:prstGeom>
        <a:noFill/>
        <a:ln w="9525">
          <a:solidFill>
            <a:srgbClr val="000000"/>
          </a:solidFill>
          <a:round/>
          <a:headEnd/>
          <a:tailEnd/>
        </a:ln>
      </xdr:spPr>
    </xdr:sp>
    <xdr:clientData/>
  </xdr:twoCellAnchor>
  <xdr:twoCellAnchor>
    <xdr:from>
      <xdr:col>2</xdr:col>
      <xdr:colOff>247650</xdr:colOff>
      <xdr:row>19</xdr:row>
      <xdr:rowOff>85725</xdr:rowOff>
    </xdr:from>
    <xdr:to>
      <xdr:col>2</xdr:col>
      <xdr:colOff>438150</xdr:colOff>
      <xdr:row>20</xdr:row>
      <xdr:rowOff>95250</xdr:rowOff>
    </xdr:to>
    <xdr:sp macro="" textlink="">
      <xdr:nvSpPr>
        <xdr:cNvPr id="79" name="Line 78"/>
        <xdr:cNvSpPr>
          <a:spLocks noChangeShapeType="1"/>
        </xdr:cNvSpPr>
      </xdr:nvSpPr>
      <xdr:spPr bwMode="auto">
        <a:xfrm>
          <a:off x="1466850" y="3560445"/>
          <a:ext cx="190500" cy="192405"/>
        </a:xfrm>
        <a:prstGeom prst="line">
          <a:avLst/>
        </a:prstGeom>
        <a:noFill/>
        <a:ln w="9525">
          <a:solidFill>
            <a:srgbClr val="000000"/>
          </a:solidFill>
          <a:round/>
          <a:headEnd/>
          <a:tailEnd/>
        </a:ln>
      </xdr:spPr>
    </xdr:sp>
    <xdr:clientData/>
  </xdr:twoCellAnchor>
  <xdr:twoCellAnchor>
    <xdr:from>
      <xdr:col>2</xdr:col>
      <xdr:colOff>104775</xdr:colOff>
      <xdr:row>19</xdr:row>
      <xdr:rowOff>95250</xdr:rowOff>
    </xdr:from>
    <xdr:to>
      <xdr:col>2</xdr:col>
      <xdr:colOff>266700</xdr:colOff>
      <xdr:row>20</xdr:row>
      <xdr:rowOff>85725</xdr:rowOff>
    </xdr:to>
    <xdr:sp macro="" textlink="">
      <xdr:nvSpPr>
        <xdr:cNvPr id="80" name="Line 79"/>
        <xdr:cNvSpPr>
          <a:spLocks noChangeShapeType="1"/>
        </xdr:cNvSpPr>
      </xdr:nvSpPr>
      <xdr:spPr bwMode="auto">
        <a:xfrm>
          <a:off x="1323975" y="3569970"/>
          <a:ext cx="161925" cy="173355"/>
        </a:xfrm>
        <a:prstGeom prst="line">
          <a:avLst/>
        </a:prstGeom>
        <a:noFill/>
        <a:ln w="9525">
          <a:solidFill>
            <a:srgbClr val="000000"/>
          </a:solidFill>
          <a:round/>
          <a:headEnd/>
          <a:tailEnd/>
        </a:ln>
      </xdr:spPr>
    </xdr:sp>
    <xdr:clientData/>
  </xdr:twoCellAnchor>
  <xdr:twoCellAnchor>
    <xdr:from>
      <xdr:col>6</xdr:col>
      <xdr:colOff>533400</xdr:colOff>
      <xdr:row>19</xdr:row>
      <xdr:rowOff>57150</xdr:rowOff>
    </xdr:from>
    <xdr:to>
      <xdr:col>7</xdr:col>
      <xdr:colOff>57150</xdr:colOff>
      <xdr:row>20</xdr:row>
      <xdr:rowOff>104775</xdr:rowOff>
    </xdr:to>
    <xdr:sp macro="" textlink="">
      <xdr:nvSpPr>
        <xdr:cNvPr id="81" name="Line 80"/>
        <xdr:cNvSpPr>
          <a:spLocks noChangeShapeType="1"/>
        </xdr:cNvSpPr>
      </xdr:nvSpPr>
      <xdr:spPr bwMode="auto">
        <a:xfrm>
          <a:off x="4191000" y="3531870"/>
          <a:ext cx="133350" cy="230505"/>
        </a:xfrm>
        <a:prstGeom prst="line">
          <a:avLst/>
        </a:prstGeom>
        <a:noFill/>
        <a:ln w="9525">
          <a:solidFill>
            <a:srgbClr val="000000"/>
          </a:solidFill>
          <a:round/>
          <a:headEnd/>
          <a:tailEnd/>
        </a:ln>
      </xdr:spPr>
    </xdr:sp>
    <xdr:clientData/>
  </xdr:twoCellAnchor>
  <xdr:twoCellAnchor>
    <xdr:from>
      <xdr:col>7</xdr:col>
      <xdr:colOff>28575</xdr:colOff>
      <xdr:row>19</xdr:row>
      <xdr:rowOff>57150</xdr:rowOff>
    </xdr:from>
    <xdr:to>
      <xdr:col>7</xdr:col>
      <xdr:colOff>142875</xdr:colOff>
      <xdr:row>20</xdr:row>
      <xdr:rowOff>66675</xdr:rowOff>
    </xdr:to>
    <xdr:sp macro="" textlink="">
      <xdr:nvSpPr>
        <xdr:cNvPr id="82" name="Line 81"/>
        <xdr:cNvSpPr>
          <a:spLocks noChangeShapeType="1"/>
        </xdr:cNvSpPr>
      </xdr:nvSpPr>
      <xdr:spPr bwMode="auto">
        <a:xfrm>
          <a:off x="4295775" y="3531870"/>
          <a:ext cx="114300" cy="192405"/>
        </a:xfrm>
        <a:prstGeom prst="line">
          <a:avLst/>
        </a:prstGeom>
        <a:noFill/>
        <a:ln w="9525">
          <a:solidFill>
            <a:srgbClr val="000000"/>
          </a:solidFill>
          <a:round/>
          <a:headEnd/>
          <a:tailEnd/>
        </a:ln>
      </xdr:spPr>
    </xdr:sp>
    <xdr:clientData/>
  </xdr:twoCellAnchor>
  <xdr:twoCellAnchor>
    <xdr:from>
      <xdr:col>7</xdr:col>
      <xdr:colOff>161925</xdr:colOff>
      <xdr:row>19</xdr:row>
      <xdr:rowOff>66675</xdr:rowOff>
    </xdr:from>
    <xdr:to>
      <xdr:col>7</xdr:col>
      <xdr:colOff>276225</xdr:colOff>
      <xdr:row>20</xdr:row>
      <xdr:rowOff>85725</xdr:rowOff>
    </xdr:to>
    <xdr:sp macro="" textlink="">
      <xdr:nvSpPr>
        <xdr:cNvPr id="83" name="Line 82"/>
        <xdr:cNvSpPr>
          <a:spLocks noChangeShapeType="1"/>
        </xdr:cNvSpPr>
      </xdr:nvSpPr>
      <xdr:spPr bwMode="auto">
        <a:xfrm>
          <a:off x="4429125" y="3541395"/>
          <a:ext cx="114300" cy="201930"/>
        </a:xfrm>
        <a:prstGeom prst="line">
          <a:avLst/>
        </a:prstGeom>
        <a:noFill/>
        <a:ln w="9525">
          <a:solidFill>
            <a:srgbClr val="000000"/>
          </a:solidFill>
          <a:round/>
          <a:headEnd/>
          <a:tailEnd/>
        </a:ln>
      </xdr:spPr>
    </xdr:sp>
    <xdr:clientData/>
  </xdr:twoCellAnchor>
  <xdr:twoCellAnchor>
    <xdr:from>
      <xdr:col>17</xdr:col>
      <xdr:colOff>371475</xdr:colOff>
      <xdr:row>20</xdr:row>
      <xdr:rowOff>19050</xdr:rowOff>
    </xdr:from>
    <xdr:to>
      <xdr:col>17</xdr:col>
      <xdr:colOff>371475</xdr:colOff>
      <xdr:row>20</xdr:row>
      <xdr:rowOff>38100</xdr:rowOff>
    </xdr:to>
    <xdr:sp macro="" textlink="">
      <xdr:nvSpPr>
        <xdr:cNvPr id="84" name="Line 83"/>
        <xdr:cNvSpPr>
          <a:spLocks noChangeShapeType="1"/>
        </xdr:cNvSpPr>
      </xdr:nvSpPr>
      <xdr:spPr bwMode="auto">
        <a:xfrm>
          <a:off x="10955655" y="3676650"/>
          <a:ext cx="0" cy="1905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5" name="Line 84"/>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6" name="Line 85"/>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7" name="Line 86"/>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8" name="Line 87"/>
        <xdr:cNvSpPr>
          <a:spLocks noChangeShapeType="1"/>
        </xdr:cNvSpPr>
      </xdr:nvSpPr>
      <xdr:spPr bwMode="auto">
        <a:xfrm flipH="1" flipV="1">
          <a:off x="4257675" y="7498080"/>
          <a:ext cx="9525" cy="0"/>
        </a:xfrm>
        <a:prstGeom prst="line">
          <a:avLst/>
        </a:prstGeom>
        <a:noFill/>
        <a:ln w="9525">
          <a:solidFill>
            <a:srgbClr val="000000"/>
          </a:solidFill>
          <a:round/>
          <a:headEnd/>
          <a:tailEnd/>
        </a:ln>
      </xdr:spPr>
    </xdr:sp>
    <xdr:clientData/>
  </xdr:twoCellAnchor>
  <xdr:twoCellAnchor>
    <xdr:from>
      <xdr:col>6</xdr:col>
      <xdr:colOff>171450</xdr:colOff>
      <xdr:row>26</xdr:row>
      <xdr:rowOff>104775</xdr:rowOff>
    </xdr:from>
    <xdr:to>
      <xdr:col>6</xdr:col>
      <xdr:colOff>457200</xdr:colOff>
      <xdr:row>26</xdr:row>
      <xdr:rowOff>104775</xdr:rowOff>
    </xdr:to>
    <xdr:sp macro="" textlink="">
      <xdr:nvSpPr>
        <xdr:cNvPr id="89" name="Line 88"/>
        <xdr:cNvSpPr>
          <a:spLocks noChangeShapeType="1"/>
        </xdr:cNvSpPr>
      </xdr:nvSpPr>
      <xdr:spPr bwMode="auto">
        <a:xfrm>
          <a:off x="3829050" y="4859655"/>
          <a:ext cx="285750" cy="0"/>
        </a:xfrm>
        <a:prstGeom prst="line">
          <a:avLst/>
        </a:prstGeom>
        <a:noFill/>
        <a:ln w="9525">
          <a:solidFill>
            <a:srgbClr val="000000"/>
          </a:solidFill>
          <a:round/>
          <a:headEnd/>
          <a:tailEnd/>
        </a:ln>
      </xdr:spPr>
    </xdr:sp>
    <xdr:clientData/>
  </xdr:twoCellAnchor>
  <xdr:twoCellAnchor>
    <xdr:from>
      <xdr:col>6</xdr:col>
      <xdr:colOff>447675</xdr:colOff>
      <xdr:row>26</xdr:row>
      <xdr:rowOff>57150</xdr:rowOff>
    </xdr:from>
    <xdr:to>
      <xdr:col>6</xdr:col>
      <xdr:colOff>447675</xdr:colOff>
      <xdr:row>26</xdr:row>
      <xdr:rowOff>142875</xdr:rowOff>
    </xdr:to>
    <xdr:sp macro="" textlink="">
      <xdr:nvSpPr>
        <xdr:cNvPr id="90" name="Line 89"/>
        <xdr:cNvSpPr>
          <a:spLocks noChangeShapeType="1"/>
        </xdr:cNvSpPr>
      </xdr:nvSpPr>
      <xdr:spPr bwMode="auto">
        <a:xfrm>
          <a:off x="4105275" y="4812030"/>
          <a:ext cx="0" cy="85725"/>
        </a:xfrm>
        <a:prstGeom prst="line">
          <a:avLst/>
        </a:prstGeom>
        <a:noFill/>
        <a:ln w="9525">
          <a:solidFill>
            <a:srgbClr val="000000"/>
          </a:solidFill>
          <a:round/>
          <a:headEnd/>
          <a:tailEnd/>
        </a:ln>
      </xdr:spPr>
    </xdr:sp>
    <xdr:clientData/>
  </xdr:twoCellAnchor>
  <xdr:twoCellAnchor>
    <xdr:from>
      <xdr:col>6</xdr:col>
      <xdr:colOff>323850</xdr:colOff>
      <xdr:row>25</xdr:row>
      <xdr:rowOff>85725</xdr:rowOff>
    </xdr:from>
    <xdr:to>
      <xdr:col>6</xdr:col>
      <xdr:colOff>409575</xdr:colOff>
      <xdr:row>26</xdr:row>
      <xdr:rowOff>85725</xdr:rowOff>
    </xdr:to>
    <xdr:sp macro="" textlink="">
      <xdr:nvSpPr>
        <xdr:cNvPr id="91" name="Line 90"/>
        <xdr:cNvSpPr>
          <a:spLocks noChangeShapeType="1"/>
        </xdr:cNvSpPr>
      </xdr:nvSpPr>
      <xdr:spPr bwMode="auto">
        <a:xfrm flipV="1">
          <a:off x="3981450" y="4657725"/>
          <a:ext cx="85725" cy="182880"/>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92" name="Line 91"/>
        <xdr:cNvSpPr>
          <a:spLocks noChangeShapeType="1"/>
        </xdr:cNvSpPr>
      </xdr:nvSpPr>
      <xdr:spPr bwMode="auto">
        <a:xfrm>
          <a:off x="4095750" y="515874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93" name="Line 92"/>
        <xdr:cNvSpPr>
          <a:spLocks noChangeShapeType="1"/>
        </xdr:cNvSpPr>
      </xdr:nvSpPr>
      <xdr:spPr bwMode="auto">
        <a:xfrm>
          <a:off x="4105275" y="5273040"/>
          <a:ext cx="180975" cy="116205"/>
        </a:xfrm>
        <a:prstGeom prst="line">
          <a:avLst/>
        </a:prstGeom>
        <a:noFill/>
        <a:ln w="9525">
          <a:solidFill>
            <a:srgbClr val="000000"/>
          </a:solidFill>
          <a:round/>
          <a:headEnd/>
          <a:tailEnd/>
        </a:ln>
      </xdr:spPr>
    </xdr:sp>
    <xdr:clientData/>
  </xdr:twoCellAnchor>
  <xdr:twoCellAnchor>
    <xdr:from>
      <xdr:col>2</xdr:col>
      <xdr:colOff>342900</xdr:colOff>
      <xdr:row>29</xdr:row>
      <xdr:rowOff>133350</xdr:rowOff>
    </xdr:from>
    <xdr:to>
      <xdr:col>6</xdr:col>
      <xdr:colOff>485775</xdr:colOff>
      <xdr:row>29</xdr:row>
      <xdr:rowOff>133350</xdr:rowOff>
    </xdr:to>
    <xdr:sp macro="" textlink="">
      <xdr:nvSpPr>
        <xdr:cNvPr id="94" name="Line 93"/>
        <xdr:cNvSpPr>
          <a:spLocks noChangeShapeType="1"/>
        </xdr:cNvSpPr>
      </xdr:nvSpPr>
      <xdr:spPr bwMode="auto">
        <a:xfrm>
          <a:off x="1562100" y="5436870"/>
          <a:ext cx="2581275" cy="0"/>
        </a:xfrm>
        <a:prstGeom prst="line">
          <a:avLst/>
        </a:prstGeom>
        <a:noFill/>
        <a:ln w="9525">
          <a:solidFill>
            <a:srgbClr val="000000"/>
          </a:solidFill>
          <a:round/>
          <a:headEnd/>
          <a:tailEnd/>
        </a:ln>
      </xdr:spPr>
    </xdr:sp>
    <xdr:clientData/>
  </xdr:twoCellAnchor>
  <xdr:twoCellAnchor>
    <xdr:from>
      <xdr:col>2</xdr:col>
      <xdr:colOff>342900</xdr:colOff>
      <xdr:row>29</xdr:row>
      <xdr:rowOff>95250</xdr:rowOff>
    </xdr:from>
    <xdr:to>
      <xdr:col>2</xdr:col>
      <xdr:colOff>342900</xdr:colOff>
      <xdr:row>30</xdr:row>
      <xdr:rowOff>57150</xdr:rowOff>
    </xdr:to>
    <xdr:sp macro="" textlink="">
      <xdr:nvSpPr>
        <xdr:cNvPr id="95" name="Line 94"/>
        <xdr:cNvSpPr>
          <a:spLocks noChangeShapeType="1"/>
        </xdr:cNvSpPr>
      </xdr:nvSpPr>
      <xdr:spPr bwMode="auto">
        <a:xfrm>
          <a:off x="1562100" y="5398770"/>
          <a:ext cx="0" cy="144780"/>
        </a:xfrm>
        <a:prstGeom prst="line">
          <a:avLst/>
        </a:prstGeom>
        <a:noFill/>
        <a:ln w="9525">
          <a:solidFill>
            <a:srgbClr val="000000"/>
          </a:solidFill>
          <a:round/>
          <a:headEnd/>
          <a:tailEnd/>
        </a:ln>
      </xdr:spPr>
    </xdr:sp>
    <xdr:clientData/>
  </xdr:twoCellAnchor>
  <xdr:twoCellAnchor>
    <xdr:from>
      <xdr:col>6</xdr:col>
      <xdr:colOff>466725</xdr:colOff>
      <xdr:row>29</xdr:row>
      <xdr:rowOff>85725</xdr:rowOff>
    </xdr:from>
    <xdr:to>
      <xdr:col>6</xdr:col>
      <xdr:colOff>466725</xdr:colOff>
      <xdr:row>30</xdr:row>
      <xdr:rowOff>95250</xdr:rowOff>
    </xdr:to>
    <xdr:sp macro="" textlink="">
      <xdr:nvSpPr>
        <xdr:cNvPr id="96" name="Line 95"/>
        <xdr:cNvSpPr>
          <a:spLocks noChangeShapeType="1"/>
        </xdr:cNvSpPr>
      </xdr:nvSpPr>
      <xdr:spPr bwMode="auto">
        <a:xfrm>
          <a:off x="4124325" y="5389245"/>
          <a:ext cx="0" cy="192405"/>
        </a:xfrm>
        <a:prstGeom prst="line">
          <a:avLst/>
        </a:prstGeom>
        <a:noFill/>
        <a:ln w="9525">
          <a:solidFill>
            <a:srgbClr val="000000"/>
          </a:solidFill>
          <a:round/>
          <a:headEnd/>
          <a:tailEnd/>
        </a:ln>
      </xdr:spPr>
    </xdr:sp>
    <xdr:clientData/>
  </xdr:twoCellAnchor>
  <xdr:twoCellAnchor>
    <xdr:from>
      <xdr:col>42</xdr:col>
      <xdr:colOff>190500</xdr:colOff>
      <xdr:row>71</xdr:row>
      <xdr:rowOff>133350</xdr:rowOff>
    </xdr:from>
    <xdr:to>
      <xdr:col>42</xdr:col>
      <xdr:colOff>266700</xdr:colOff>
      <xdr:row>72</xdr:row>
      <xdr:rowOff>9525</xdr:rowOff>
    </xdr:to>
    <xdr:sp macro="" textlink="">
      <xdr:nvSpPr>
        <xdr:cNvPr id="97" name="Line 96"/>
        <xdr:cNvSpPr>
          <a:spLocks noChangeShapeType="1"/>
        </xdr:cNvSpPr>
      </xdr:nvSpPr>
      <xdr:spPr bwMode="auto">
        <a:xfrm flipH="1">
          <a:off x="26014680" y="18985230"/>
          <a:ext cx="76200" cy="257175"/>
        </a:xfrm>
        <a:prstGeom prst="line">
          <a:avLst/>
        </a:prstGeom>
        <a:noFill/>
        <a:ln w="9525">
          <a:solidFill>
            <a:srgbClr val="000000"/>
          </a:solidFill>
          <a:round/>
          <a:headEnd/>
          <a:tailEnd/>
        </a:ln>
      </xdr:spPr>
    </xdr:sp>
    <xdr:clientData/>
  </xdr:twoCellAnchor>
  <xdr:twoCellAnchor>
    <xdr:from>
      <xdr:col>13</xdr:col>
      <xdr:colOff>247650</xdr:colOff>
      <xdr:row>70</xdr:row>
      <xdr:rowOff>0</xdr:rowOff>
    </xdr:from>
    <xdr:to>
      <xdr:col>13</xdr:col>
      <xdr:colOff>409575</xdr:colOff>
      <xdr:row>70</xdr:row>
      <xdr:rowOff>0</xdr:rowOff>
    </xdr:to>
    <xdr:sp macro="" textlink="">
      <xdr:nvSpPr>
        <xdr:cNvPr id="98" name="Line 97"/>
        <xdr:cNvSpPr>
          <a:spLocks noChangeShapeType="1"/>
        </xdr:cNvSpPr>
      </xdr:nvSpPr>
      <xdr:spPr bwMode="auto">
        <a:xfrm>
          <a:off x="8393430" y="18470880"/>
          <a:ext cx="161925" cy="0"/>
        </a:xfrm>
        <a:prstGeom prst="line">
          <a:avLst/>
        </a:prstGeom>
        <a:noFill/>
        <a:ln w="9525">
          <a:solidFill>
            <a:srgbClr val="000000"/>
          </a:solidFill>
          <a:round/>
          <a:headEnd/>
          <a:tailEnd/>
        </a:ln>
      </xdr:spPr>
    </xdr:sp>
    <xdr:clientData/>
  </xdr:twoCellAnchor>
  <xdr:twoCellAnchor>
    <xdr:from>
      <xdr:col>37</xdr:col>
      <xdr:colOff>238125</xdr:colOff>
      <xdr:row>186</xdr:row>
      <xdr:rowOff>133350</xdr:rowOff>
    </xdr:from>
    <xdr:to>
      <xdr:col>37</xdr:col>
      <xdr:colOff>361950</xdr:colOff>
      <xdr:row>186</xdr:row>
      <xdr:rowOff>133350</xdr:rowOff>
    </xdr:to>
    <xdr:sp macro="" textlink="">
      <xdr:nvSpPr>
        <xdr:cNvPr id="99" name="Line 98"/>
        <xdr:cNvSpPr>
          <a:spLocks noChangeShapeType="1"/>
        </xdr:cNvSpPr>
      </xdr:nvSpPr>
      <xdr:spPr bwMode="auto">
        <a:xfrm>
          <a:off x="23014305" y="40610790"/>
          <a:ext cx="123825" cy="0"/>
        </a:xfrm>
        <a:prstGeom prst="line">
          <a:avLst/>
        </a:prstGeom>
        <a:noFill/>
        <a:ln w="9525">
          <a:solidFill>
            <a:srgbClr val="000000"/>
          </a:solidFill>
          <a:round/>
          <a:headEnd/>
          <a:tailEnd/>
        </a:ln>
      </xdr:spPr>
    </xdr:sp>
    <xdr:clientData/>
  </xdr:twoCellAnchor>
  <xdr:twoCellAnchor>
    <xdr:from>
      <xdr:col>2</xdr:col>
      <xdr:colOff>476250</xdr:colOff>
      <xdr:row>16</xdr:row>
      <xdr:rowOff>123825</xdr:rowOff>
    </xdr:from>
    <xdr:to>
      <xdr:col>6</xdr:col>
      <xdr:colOff>333375</xdr:colOff>
      <xdr:row>17</xdr:row>
      <xdr:rowOff>28575</xdr:rowOff>
    </xdr:to>
    <xdr:sp macro="" textlink="">
      <xdr:nvSpPr>
        <xdr:cNvPr id="100" name="Rectangle 99"/>
        <xdr:cNvSpPr>
          <a:spLocks noChangeArrowheads="1"/>
        </xdr:cNvSpPr>
      </xdr:nvSpPr>
      <xdr:spPr bwMode="auto">
        <a:xfrm>
          <a:off x="1695450" y="3049905"/>
          <a:ext cx="2295525" cy="87630"/>
        </a:xfrm>
        <a:prstGeom prst="rect">
          <a:avLst/>
        </a:prstGeom>
        <a:noFill/>
        <a:ln w="9525">
          <a:solidFill>
            <a:srgbClr val="000000"/>
          </a:solidFill>
          <a:miter lim="800000"/>
          <a:headEnd/>
          <a:tailEnd/>
        </a:ln>
      </xdr:spPr>
    </xdr:sp>
    <xdr:clientData/>
  </xdr:twoCellAnchor>
  <xdr:twoCellAnchor>
    <xdr:from>
      <xdr:col>2</xdr:col>
      <xdr:colOff>466725</xdr:colOff>
      <xdr:row>16</xdr:row>
      <xdr:rowOff>0</xdr:rowOff>
    </xdr:from>
    <xdr:to>
      <xdr:col>6</xdr:col>
      <xdr:colOff>371475</xdr:colOff>
      <xdr:row>16</xdr:row>
      <xdr:rowOff>0</xdr:rowOff>
    </xdr:to>
    <xdr:sp macro="" textlink="">
      <xdr:nvSpPr>
        <xdr:cNvPr id="101" name="Line 100"/>
        <xdr:cNvSpPr>
          <a:spLocks noChangeShapeType="1"/>
        </xdr:cNvSpPr>
      </xdr:nvSpPr>
      <xdr:spPr bwMode="auto">
        <a:xfrm>
          <a:off x="1685925" y="2926080"/>
          <a:ext cx="2343150" cy="0"/>
        </a:xfrm>
        <a:prstGeom prst="line">
          <a:avLst/>
        </a:prstGeom>
        <a:noFill/>
        <a:ln w="9525">
          <a:solidFill>
            <a:srgbClr val="000000"/>
          </a:solidFill>
          <a:round/>
          <a:headEnd/>
          <a:tailEnd/>
        </a:ln>
      </xdr:spPr>
    </xdr:sp>
    <xdr:clientData/>
  </xdr:twoCellAnchor>
  <xdr:twoCellAnchor>
    <xdr:from>
      <xdr:col>6</xdr:col>
      <xdr:colOff>361950</xdr:colOff>
      <xdr:row>15</xdr:row>
      <xdr:rowOff>104775</xdr:rowOff>
    </xdr:from>
    <xdr:to>
      <xdr:col>6</xdr:col>
      <xdr:colOff>361950</xdr:colOff>
      <xdr:row>16</xdr:row>
      <xdr:rowOff>66675</xdr:rowOff>
    </xdr:to>
    <xdr:sp macro="" textlink="">
      <xdr:nvSpPr>
        <xdr:cNvPr id="102" name="Line 101"/>
        <xdr:cNvSpPr>
          <a:spLocks noChangeShapeType="1"/>
        </xdr:cNvSpPr>
      </xdr:nvSpPr>
      <xdr:spPr bwMode="auto">
        <a:xfrm>
          <a:off x="4019550" y="2847975"/>
          <a:ext cx="0" cy="144780"/>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103" name="Line 102"/>
        <xdr:cNvSpPr>
          <a:spLocks noChangeShapeType="1"/>
        </xdr:cNvSpPr>
      </xdr:nvSpPr>
      <xdr:spPr bwMode="auto">
        <a:xfrm>
          <a:off x="4095750" y="515874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104" name="Line 103"/>
        <xdr:cNvSpPr>
          <a:spLocks noChangeShapeType="1"/>
        </xdr:cNvSpPr>
      </xdr:nvSpPr>
      <xdr:spPr bwMode="auto">
        <a:xfrm>
          <a:off x="4105275" y="5273040"/>
          <a:ext cx="180975" cy="116205"/>
        </a:xfrm>
        <a:prstGeom prst="line">
          <a:avLst/>
        </a:prstGeom>
        <a:noFill/>
        <a:ln w="9525">
          <a:solidFill>
            <a:srgbClr val="000000"/>
          </a:solidFill>
          <a:round/>
          <a:headEnd/>
          <a:tailEnd/>
        </a:ln>
      </xdr:spPr>
    </xdr:sp>
    <xdr:clientData/>
  </xdr:twoCellAnchor>
  <xdr:twoCellAnchor>
    <xdr:from>
      <xdr:col>40</xdr:col>
      <xdr:colOff>190500</xdr:colOff>
      <xdr:row>71</xdr:row>
      <xdr:rowOff>123825</xdr:rowOff>
    </xdr:from>
    <xdr:to>
      <xdr:col>40</xdr:col>
      <xdr:colOff>314325</xdr:colOff>
      <xdr:row>71</xdr:row>
      <xdr:rowOff>123825</xdr:rowOff>
    </xdr:to>
    <xdr:sp macro="" textlink="">
      <xdr:nvSpPr>
        <xdr:cNvPr id="105" name="Line 104"/>
        <xdr:cNvSpPr>
          <a:spLocks noChangeShapeType="1"/>
        </xdr:cNvSpPr>
      </xdr:nvSpPr>
      <xdr:spPr bwMode="auto">
        <a:xfrm>
          <a:off x="24795480" y="18975705"/>
          <a:ext cx="123825" cy="0"/>
        </a:xfrm>
        <a:prstGeom prst="line">
          <a:avLst/>
        </a:prstGeom>
        <a:noFill/>
        <a:ln w="9525">
          <a:solidFill>
            <a:srgbClr val="000000"/>
          </a:solidFill>
          <a:round/>
          <a:headEnd/>
          <a:tailEnd/>
        </a:ln>
      </xdr:spPr>
    </xdr:sp>
    <xdr:clientData/>
  </xdr:twoCellAnchor>
  <xdr:twoCellAnchor>
    <xdr:from>
      <xdr:col>2</xdr:col>
      <xdr:colOff>323850</xdr:colOff>
      <xdr:row>16</xdr:row>
      <xdr:rowOff>114300</xdr:rowOff>
    </xdr:from>
    <xdr:to>
      <xdr:col>2</xdr:col>
      <xdr:colOff>409575</xdr:colOff>
      <xdr:row>17</xdr:row>
      <xdr:rowOff>19050</xdr:rowOff>
    </xdr:to>
    <xdr:sp macro="" textlink="">
      <xdr:nvSpPr>
        <xdr:cNvPr id="106" name="Line 105"/>
        <xdr:cNvSpPr>
          <a:spLocks noChangeShapeType="1"/>
        </xdr:cNvSpPr>
      </xdr:nvSpPr>
      <xdr:spPr bwMode="auto">
        <a:xfrm flipV="1">
          <a:off x="1543050" y="3040380"/>
          <a:ext cx="85725" cy="87630"/>
        </a:xfrm>
        <a:prstGeom prst="line">
          <a:avLst/>
        </a:prstGeom>
        <a:noFill/>
        <a:ln w="9525">
          <a:solidFill>
            <a:srgbClr val="000000"/>
          </a:solidFill>
          <a:round/>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9525</xdr:colOff>
      <xdr:row>17</xdr:row>
      <xdr:rowOff>19050</xdr:rowOff>
    </xdr:from>
    <xdr:to>
      <xdr:col>3</xdr:col>
      <xdr:colOff>171450</xdr:colOff>
      <xdr:row>27</xdr:row>
      <xdr:rowOff>0</xdr:rowOff>
    </xdr:to>
    <xdr:sp macro="" textlink="">
      <xdr:nvSpPr>
        <xdr:cNvPr id="2" name="Rectangle 1"/>
        <xdr:cNvSpPr>
          <a:spLocks noChangeArrowheads="1"/>
        </xdr:cNvSpPr>
      </xdr:nvSpPr>
      <xdr:spPr bwMode="auto">
        <a:xfrm>
          <a:off x="1600200" y="2790825"/>
          <a:ext cx="161925" cy="1600200"/>
        </a:xfrm>
        <a:prstGeom prst="rect">
          <a:avLst/>
        </a:prstGeom>
        <a:noFill/>
        <a:ln w="9525">
          <a:solidFill>
            <a:srgbClr val="000000"/>
          </a:solidFill>
          <a:miter lim="800000"/>
          <a:headEnd/>
          <a:tailEnd/>
        </a:ln>
      </xdr:spPr>
    </xdr:sp>
    <xdr:clientData/>
  </xdr:twoCellAnchor>
  <xdr:twoCellAnchor>
    <xdr:from>
      <xdr:col>6</xdr:col>
      <xdr:colOff>9525</xdr:colOff>
      <xdr:row>17</xdr:row>
      <xdr:rowOff>19050</xdr:rowOff>
    </xdr:from>
    <xdr:to>
      <xdr:col>6</xdr:col>
      <xdr:colOff>171450</xdr:colOff>
      <xdr:row>27</xdr:row>
      <xdr:rowOff>0</xdr:rowOff>
    </xdr:to>
    <xdr:sp macro="" textlink="">
      <xdr:nvSpPr>
        <xdr:cNvPr id="3" name="Rectangle 2"/>
        <xdr:cNvSpPr>
          <a:spLocks noChangeArrowheads="1"/>
        </xdr:cNvSpPr>
      </xdr:nvSpPr>
      <xdr:spPr bwMode="auto">
        <a:xfrm>
          <a:off x="3552825" y="2790825"/>
          <a:ext cx="161925" cy="1600200"/>
        </a:xfrm>
        <a:prstGeom prst="rect">
          <a:avLst/>
        </a:prstGeom>
        <a:noFill/>
        <a:ln w="9525">
          <a:solidFill>
            <a:srgbClr val="000000"/>
          </a:solidFill>
          <a:miter lim="800000"/>
          <a:headEnd/>
          <a:tailEnd/>
        </a:ln>
      </xdr:spPr>
    </xdr:sp>
    <xdr:clientData/>
  </xdr:twoCellAnchor>
  <xdr:twoCellAnchor>
    <xdr:from>
      <xdr:col>2</xdr:col>
      <xdr:colOff>333375</xdr:colOff>
      <xdr:row>27</xdr:row>
      <xdr:rowOff>0</xdr:rowOff>
    </xdr:from>
    <xdr:to>
      <xdr:col>6</xdr:col>
      <xdr:colOff>447675</xdr:colOff>
      <xdr:row>28</xdr:row>
      <xdr:rowOff>0</xdr:rowOff>
    </xdr:to>
    <xdr:sp macro="" textlink="">
      <xdr:nvSpPr>
        <xdr:cNvPr id="4" name="Rectangle 3"/>
        <xdr:cNvSpPr>
          <a:spLocks noChangeArrowheads="1"/>
        </xdr:cNvSpPr>
      </xdr:nvSpPr>
      <xdr:spPr bwMode="auto">
        <a:xfrm>
          <a:off x="1314450" y="4391025"/>
          <a:ext cx="2676525" cy="161925"/>
        </a:xfrm>
        <a:prstGeom prst="rect">
          <a:avLst/>
        </a:prstGeom>
        <a:noFill/>
        <a:ln w="9525">
          <a:solidFill>
            <a:srgbClr val="000000"/>
          </a:solidFill>
          <a:miter lim="800000"/>
          <a:headEnd/>
          <a:tailEnd/>
        </a:ln>
      </xdr:spPr>
    </xdr:sp>
    <xdr:clientData/>
  </xdr:twoCellAnchor>
  <xdr:twoCellAnchor>
    <xdr:from>
      <xdr:col>2</xdr:col>
      <xdr:colOff>333375</xdr:colOff>
      <xdr:row>28</xdr:row>
      <xdr:rowOff>9525</xdr:rowOff>
    </xdr:from>
    <xdr:to>
      <xdr:col>6</xdr:col>
      <xdr:colOff>447675</xdr:colOff>
      <xdr:row>28</xdr:row>
      <xdr:rowOff>95250</xdr:rowOff>
    </xdr:to>
    <xdr:sp macro="" textlink="">
      <xdr:nvSpPr>
        <xdr:cNvPr id="5" name="Rectangle 4"/>
        <xdr:cNvSpPr>
          <a:spLocks noChangeArrowheads="1"/>
        </xdr:cNvSpPr>
      </xdr:nvSpPr>
      <xdr:spPr bwMode="auto">
        <a:xfrm>
          <a:off x="1314450" y="4562475"/>
          <a:ext cx="2676525" cy="85725"/>
        </a:xfrm>
        <a:prstGeom prst="rect">
          <a:avLst/>
        </a:prstGeom>
        <a:noFill/>
        <a:ln w="9525">
          <a:solidFill>
            <a:srgbClr val="000000"/>
          </a:solidFill>
          <a:miter lim="800000"/>
          <a:headEnd/>
          <a:tailEnd/>
        </a:ln>
      </xdr:spPr>
    </xdr:sp>
    <xdr:clientData/>
  </xdr:twoCellAnchor>
  <xdr:twoCellAnchor>
    <xdr:from>
      <xdr:col>2</xdr:col>
      <xdr:colOff>342900</xdr:colOff>
      <xdr:row>28</xdr:row>
      <xdr:rowOff>104775</xdr:rowOff>
    </xdr:from>
    <xdr:to>
      <xdr:col>6</xdr:col>
      <xdr:colOff>447675</xdr:colOff>
      <xdr:row>29</xdr:row>
      <xdr:rowOff>38100</xdr:rowOff>
    </xdr:to>
    <xdr:sp macro="" textlink="">
      <xdr:nvSpPr>
        <xdr:cNvPr id="6" name="Rectangle 5"/>
        <xdr:cNvSpPr>
          <a:spLocks noChangeArrowheads="1"/>
        </xdr:cNvSpPr>
      </xdr:nvSpPr>
      <xdr:spPr bwMode="auto">
        <a:xfrm>
          <a:off x="1323975" y="4657725"/>
          <a:ext cx="2667000" cy="95250"/>
        </a:xfrm>
        <a:prstGeom prst="rect">
          <a:avLst/>
        </a:prstGeom>
        <a:noFill/>
        <a:ln w="9525">
          <a:solidFill>
            <a:srgbClr val="000000"/>
          </a:solidFill>
          <a:miter lim="800000"/>
          <a:headEnd/>
          <a:tailEnd/>
        </a:ln>
      </xdr:spPr>
    </xdr:sp>
    <xdr:clientData/>
  </xdr:twoCellAnchor>
  <xdr:twoCellAnchor>
    <xdr:from>
      <xdr:col>18</xdr:col>
      <xdr:colOff>0</xdr:colOff>
      <xdr:row>19</xdr:row>
      <xdr:rowOff>142875</xdr:rowOff>
    </xdr:from>
    <xdr:to>
      <xdr:col>18</xdr:col>
      <xdr:colOff>0</xdr:colOff>
      <xdr:row>19</xdr:row>
      <xdr:rowOff>152400</xdr:rowOff>
    </xdr:to>
    <xdr:sp macro="" textlink="">
      <xdr:nvSpPr>
        <xdr:cNvPr id="7" name="Arc 6"/>
        <xdr:cNvSpPr>
          <a:spLocks/>
        </xdr:cNvSpPr>
      </xdr:nvSpPr>
      <xdr:spPr bwMode="auto">
        <a:xfrm>
          <a:off x="10972800" y="3238500"/>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23</xdr:row>
      <xdr:rowOff>95250</xdr:rowOff>
    </xdr:from>
    <xdr:to>
      <xdr:col>4</xdr:col>
      <xdr:colOff>352425</xdr:colOff>
      <xdr:row>23</xdr:row>
      <xdr:rowOff>95250</xdr:rowOff>
    </xdr:to>
    <xdr:sp macro="" textlink="">
      <xdr:nvSpPr>
        <xdr:cNvPr id="8" name="Line 7"/>
        <xdr:cNvSpPr>
          <a:spLocks noChangeShapeType="1"/>
        </xdr:cNvSpPr>
      </xdr:nvSpPr>
      <xdr:spPr bwMode="auto">
        <a:xfrm>
          <a:off x="1762125" y="3838575"/>
          <a:ext cx="790575" cy="0"/>
        </a:xfrm>
        <a:prstGeom prst="line">
          <a:avLst/>
        </a:prstGeom>
        <a:noFill/>
        <a:ln w="9525">
          <a:solidFill>
            <a:srgbClr val="000000"/>
          </a:solidFill>
          <a:round/>
          <a:headEnd/>
          <a:tailEnd/>
        </a:ln>
      </xdr:spPr>
    </xdr:sp>
    <xdr:clientData/>
  </xdr:twoCellAnchor>
  <xdr:twoCellAnchor>
    <xdr:from>
      <xdr:col>5</xdr:col>
      <xdr:colOff>104775</xdr:colOff>
      <xdr:row>23</xdr:row>
      <xdr:rowOff>104775</xdr:rowOff>
    </xdr:from>
    <xdr:to>
      <xdr:col>6</xdr:col>
      <xdr:colOff>19050</xdr:colOff>
      <xdr:row>23</xdr:row>
      <xdr:rowOff>104775</xdr:rowOff>
    </xdr:to>
    <xdr:sp macro="" textlink="">
      <xdr:nvSpPr>
        <xdr:cNvPr id="9" name="Line 8"/>
        <xdr:cNvSpPr>
          <a:spLocks noChangeShapeType="1"/>
        </xdr:cNvSpPr>
      </xdr:nvSpPr>
      <xdr:spPr bwMode="auto">
        <a:xfrm flipH="1">
          <a:off x="3038475" y="3848100"/>
          <a:ext cx="523875" cy="0"/>
        </a:xfrm>
        <a:prstGeom prst="line">
          <a:avLst/>
        </a:prstGeom>
        <a:noFill/>
        <a:ln w="9525">
          <a:solidFill>
            <a:srgbClr val="000000"/>
          </a:solidFill>
          <a:round/>
          <a:headEnd/>
          <a:tailEnd/>
        </a:ln>
      </xdr:spPr>
    </xdr:sp>
    <xdr:clientData/>
  </xdr:twoCellAnchor>
  <xdr:twoCellAnchor>
    <xdr:from>
      <xdr:col>1</xdr:col>
      <xdr:colOff>152400</xdr:colOff>
      <xdr:row>19</xdr:row>
      <xdr:rowOff>76200</xdr:rowOff>
    </xdr:from>
    <xdr:to>
      <xdr:col>2</xdr:col>
      <xdr:colOff>600075</xdr:colOff>
      <xdr:row>19</xdr:row>
      <xdr:rowOff>76200</xdr:rowOff>
    </xdr:to>
    <xdr:sp macro="" textlink="">
      <xdr:nvSpPr>
        <xdr:cNvPr id="10" name="Line 9"/>
        <xdr:cNvSpPr>
          <a:spLocks noChangeShapeType="1"/>
        </xdr:cNvSpPr>
      </xdr:nvSpPr>
      <xdr:spPr bwMode="auto">
        <a:xfrm>
          <a:off x="523875" y="3171825"/>
          <a:ext cx="1057275" cy="0"/>
        </a:xfrm>
        <a:prstGeom prst="line">
          <a:avLst/>
        </a:prstGeom>
        <a:noFill/>
        <a:ln w="9525">
          <a:solidFill>
            <a:srgbClr val="000000"/>
          </a:solidFill>
          <a:round/>
          <a:headEnd/>
          <a:tailEnd/>
        </a:ln>
      </xdr:spPr>
    </xdr:sp>
    <xdr:clientData/>
  </xdr:twoCellAnchor>
  <xdr:twoCellAnchor>
    <xdr:from>
      <xdr:col>6</xdr:col>
      <xdr:colOff>190500</xdr:colOff>
      <xdr:row>19</xdr:row>
      <xdr:rowOff>66675</xdr:rowOff>
    </xdr:from>
    <xdr:to>
      <xdr:col>7</xdr:col>
      <xdr:colOff>314325</xdr:colOff>
      <xdr:row>19</xdr:row>
      <xdr:rowOff>66675</xdr:rowOff>
    </xdr:to>
    <xdr:sp macro="" textlink="">
      <xdr:nvSpPr>
        <xdr:cNvPr id="11" name="Line 10"/>
        <xdr:cNvSpPr>
          <a:spLocks noChangeShapeType="1"/>
        </xdr:cNvSpPr>
      </xdr:nvSpPr>
      <xdr:spPr bwMode="auto">
        <a:xfrm>
          <a:off x="3733800" y="3162300"/>
          <a:ext cx="733425" cy="0"/>
        </a:xfrm>
        <a:prstGeom prst="line">
          <a:avLst/>
        </a:prstGeom>
        <a:noFill/>
        <a:ln w="9525">
          <a:solidFill>
            <a:srgbClr val="000000"/>
          </a:solidFill>
          <a:round/>
          <a:headEnd/>
          <a:tailEnd/>
        </a:ln>
      </xdr:spPr>
    </xdr:sp>
    <xdr:clientData/>
  </xdr:twoCellAnchor>
  <xdr:twoCellAnchor>
    <xdr:from>
      <xdr:col>3</xdr:col>
      <xdr:colOff>152400</xdr:colOff>
      <xdr:row>23</xdr:row>
      <xdr:rowOff>28575</xdr:rowOff>
    </xdr:from>
    <xdr:to>
      <xdr:col>3</xdr:col>
      <xdr:colOff>247650</xdr:colOff>
      <xdr:row>23</xdr:row>
      <xdr:rowOff>104775</xdr:rowOff>
    </xdr:to>
    <xdr:sp macro="" textlink="">
      <xdr:nvSpPr>
        <xdr:cNvPr id="12" name="Line 11"/>
        <xdr:cNvSpPr>
          <a:spLocks noChangeShapeType="1"/>
        </xdr:cNvSpPr>
      </xdr:nvSpPr>
      <xdr:spPr bwMode="auto">
        <a:xfrm flipV="1">
          <a:off x="1743075" y="3771900"/>
          <a:ext cx="95250" cy="76200"/>
        </a:xfrm>
        <a:prstGeom prst="line">
          <a:avLst/>
        </a:prstGeom>
        <a:noFill/>
        <a:ln w="9525">
          <a:solidFill>
            <a:srgbClr val="000000"/>
          </a:solidFill>
          <a:round/>
          <a:headEnd/>
          <a:tailEnd/>
        </a:ln>
      </xdr:spPr>
    </xdr:sp>
    <xdr:clientData/>
  </xdr:twoCellAnchor>
  <xdr:twoCellAnchor>
    <xdr:from>
      <xdr:col>5</xdr:col>
      <xdr:colOff>590550</xdr:colOff>
      <xdr:row>23</xdr:row>
      <xdr:rowOff>47625</xdr:rowOff>
    </xdr:from>
    <xdr:to>
      <xdr:col>6</xdr:col>
      <xdr:colOff>66675</xdr:colOff>
      <xdr:row>23</xdr:row>
      <xdr:rowOff>142875</xdr:rowOff>
    </xdr:to>
    <xdr:sp macro="" textlink="">
      <xdr:nvSpPr>
        <xdr:cNvPr id="13" name="Line 12"/>
        <xdr:cNvSpPr>
          <a:spLocks noChangeShapeType="1"/>
        </xdr:cNvSpPr>
      </xdr:nvSpPr>
      <xdr:spPr bwMode="auto">
        <a:xfrm flipV="1">
          <a:off x="3524250" y="3790950"/>
          <a:ext cx="85725" cy="95250"/>
        </a:xfrm>
        <a:prstGeom prst="line">
          <a:avLst/>
        </a:prstGeom>
        <a:noFill/>
        <a:ln w="9525">
          <a:solidFill>
            <a:srgbClr val="000000"/>
          </a:solidFill>
          <a:round/>
          <a:headEnd/>
          <a:tailEnd/>
        </a:ln>
      </xdr:spPr>
    </xdr:sp>
    <xdr:clientData/>
  </xdr:twoCellAnchor>
  <xdr:twoCellAnchor>
    <xdr:from>
      <xdr:col>6</xdr:col>
      <xdr:colOff>495300</xdr:colOff>
      <xdr:row>19</xdr:row>
      <xdr:rowOff>57150</xdr:rowOff>
    </xdr:from>
    <xdr:to>
      <xdr:col>6</xdr:col>
      <xdr:colOff>561975</xdr:colOff>
      <xdr:row>20</xdr:row>
      <xdr:rowOff>9525</xdr:rowOff>
    </xdr:to>
    <xdr:sp macro="" textlink="">
      <xdr:nvSpPr>
        <xdr:cNvPr id="14" name="Line 13"/>
        <xdr:cNvSpPr>
          <a:spLocks noChangeShapeType="1"/>
        </xdr:cNvSpPr>
      </xdr:nvSpPr>
      <xdr:spPr bwMode="auto">
        <a:xfrm flipH="1">
          <a:off x="4038600" y="3152775"/>
          <a:ext cx="66675" cy="114300"/>
        </a:xfrm>
        <a:prstGeom prst="line">
          <a:avLst/>
        </a:prstGeom>
        <a:noFill/>
        <a:ln w="9525">
          <a:solidFill>
            <a:srgbClr val="000000"/>
          </a:solidFill>
          <a:round/>
          <a:headEnd/>
          <a:tailEnd/>
        </a:ln>
      </xdr:spPr>
    </xdr:sp>
    <xdr:clientData/>
  </xdr:twoCellAnchor>
  <xdr:twoCellAnchor>
    <xdr:from>
      <xdr:col>6</xdr:col>
      <xdr:colOff>571500</xdr:colOff>
      <xdr:row>19</xdr:row>
      <xdr:rowOff>76200</xdr:rowOff>
    </xdr:from>
    <xdr:to>
      <xdr:col>7</xdr:col>
      <xdr:colOff>19050</xdr:colOff>
      <xdr:row>20</xdr:row>
      <xdr:rowOff>38100</xdr:rowOff>
    </xdr:to>
    <xdr:sp macro="" textlink="">
      <xdr:nvSpPr>
        <xdr:cNvPr id="15" name="Line 14"/>
        <xdr:cNvSpPr>
          <a:spLocks noChangeShapeType="1"/>
        </xdr:cNvSpPr>
      </xdr:nvSpPr>
      <xdr:spPr bwMode="auto">
        <a:xfrm flipH="1">
          <a:off x="4114800" y="3171825"/>
          <a:ext cx="57150" cy="123825"/>
        </a:xfrm>
        <a:prstGeom prst="line">
          <a:avLst/>
        </a:prstGeom>
        <a:noFill/>
        <a:ln w="9525">
          <a:solidFill>
            <a:srgbClr val="000000"/>
          </a:solidFill>
          <a:round/>
          <a:headEnd/>
          <a:tailEnd/>
        </a:ln>
      </xdr:spPr>
    </xdr:sp>
    <xdr:clientData/>
  </xdr:twoCellAnchor>
  <xdr:twoCellAnchor>
    <xdr:from>
      <xdr:col>7</xdr:col>
      <xdr:colOff>76200</xdr:colOff>
      <xdr:row>19</xdr:row>
      <xdr:rowOff>57150</xdr:rowOff>
    </xdr:from>
    <xdr:to>
      <xdr:col>7</xdr:col>
      <xdr:colOff>152400</xdr:colOff>
      <xdr:row>20</xdr:row>
      <xdr:rowOff>76200</xdr:rowOff>
    </xdr:to>
    <xdr:sp macro="" textlink="">
      <xdr:nvSpPr>
        <xdr:cNvPr id="16" name="Line 15"/>
        <xdr:cNvSpPr>
          <a:spLocks noChangeShapeType="1"/>
        </xdr:cNvSpPr>
      </xdr:nvSpPr>
      <xdr:spPr bwMode="auto">
        <a:xfrm flipH="1">
          <a:off x="4229100" y="3152775"/>
          <a:ext cx="76200" cy="180975"/>
        </a:xfrm>
        <a:prstGeom prst="line">
          <a:avLst/>
        </a:prstGeom>
        <a:noFill/>
        <a:ln w="9525">
          <a:solidFill>
            <a:srgbClr val="000000"/>
          </a:solidFill>
          <a:round/>
          <a:headEnd/>
          <a:tailEnd/>
        </a:ln>
      </xdr:spPr>
    </xdr:sp>
    <xdr:clientData/>
  </xdr:twoCellAnchor>
  <xdr:twoCellAnchor>
    <xdr:from>
      <xdr:col>7</xdr:col>
      <xdr:colOff>171450</xdr:colOff>
      <xdr:row>19</xdr:row>
      <xdr:rowOff>66675</xdr:rowOff>
    </xdr:from>
    <xdr:to>
      <xdr:col>7</xdr:col>
      <xdr:colOff>276225</xdr:colOff>
      <xdr:row>20</xdr:row>
      <xdr:rowOff>123825</xdr:rowOff>
    </xdr:to>
    <xdr:sp macro="" textlink="">
      <xdr:nvSpPr>
        <xdr:cNvPr id="17" name="Line 16"/>
        <xdr:cNvSpPr>
          <a:spLocks noChangeShapeType="1"/>
        </xdr:cNvSpPr>
      </xdr:nvSpPr>
      <xdr:spPr bwMode="auto">
        <a:xfrm flipH="1">
          <a:off x="4324350" y="3162300"/>
          <a:ext cx="104775" cy="219075"/>
        </a:xfrm>
        <a:prstGeom prst="line">
          <a:avLst/>
        </a:prstGeom>
        <a:noFill/>
        <a:ln w="9525">
          <a:solidFill>
            <a:srgbClr val="000000"/>
          </a:solidFill>
          <a:round/>
          <a:headEnd/>
          <a:tailEnd/>
        </a:ln>
      </xdr:spPr>
    </xdr:sp>
    <xdr:clientData/>
  </xdr:twoCellAnchor>
  <xdr:twoCellAnchor>
    <xdr:from>
      <xdr:col>2</xdr:col>
      <xdr:colOff>28575</xdr:colOff>
      <xdr:row>19</xdr:row>
      <xdr:rowOff>85725</xdr:rowOff>
    </xdr:from>
    <xdr:to>
      <xdr:col>2</xdr:col>
      <xdr:colOff>104775</xdr:colOff>
      <xdr:row>20</xdr:row>
      <xdr:rowOff>9525</xdr:rowOff>
    </xdr:to>
    <xdr:sp macro="" textlink="">
      <xdr:nvSpPr>
        <xdr:cNvPr id="18" name="Line 17"/>
        <xdr:cNvSpPr>
          <a:spLocks noChangeShapeType="1"/>
        </xdr:cNvSpPr>
      </xdr:nvSpPr>
      <xdr:spPr bwMode="auto">
        <a:xfrm flipH="1">
          <a:off x="1009650" y="3181350"/>
          <a:ext cx="76200" cy="85725"/>
        </a:xfrm>
        <a:prstGeom prst="line">
          <a:avLst/>
        </a:prstGeom>
        <a:noFill/>
        <a:ln w="9525">
          <a:solidFill>
            <a:srgbClr val="000000"/>
          </a:solidFill>
          <a:round/>
          <a:headEnd/>
          <a:tailEnd/>
        </a:ln>
      </xdr:spPr>
    </xdr:sp>
    <xdr:clientData/>
  </xdr:twoCellAnchor>
  <xdr:twoCellAnchor>
    <xdr:from>
      <xdr:col>2</xdr:col>
      <xdr:colOff>171450</xdr:colOff>
      <xdr:row>19</xdr:row>
      <xdr:rowOff>85725</xdr:rowOff>
    </xdr:from>
    <xdr:to>
      <xdr:col>2</xdr:col>
      <xdr:colOff>247650</xdr:colOff>
      <xdr:row>20</xdr:row>
      <xdr:rowOff>57150</xdr:rowOff>
    </xdr:to>
    <xdr:sp macro="" textlink="">
      <xdr:nvSpPr>
        <xdr:cNvPr id="19" name="Line 18"/>
        <xdr:cNvSpPr>
          <a:spLocks noChangeShapeType="1"/>
        </xdr:cNvSpPr>
      </xdr:nvSpPr>
      <xdr:spPr bwMode="auto">
        <a:xfrm flipH="1">
          <a:off x="1152525" y="3181350"/>
          <a:ext cx="76200" cy="133350"/>
        </a:xfrm>
        <a:prstGeom prst="line">
          <a:avLst/>
        </a:prstGeom>
        <a:noFill/>
        <a:ln w="9525">
          <a:solidFill>
            <a:srgbClr val="000000"/>
          </a:solidFill>
          <a:round/>
          <a:headEnd/>
          <a:tailEnd/>
        </a:ln>
      </xdr:spPr>
    </xdr:sp>
    <xdr:clientData/>
  </xdr:twoCellAnchor>
  <xdr:twoCellAnchor>
    <xdr:from>
      <xdr:col>2</xdr:col>
      <xdr:colOff>352425</xdr:colOff>
      <xdr:row>19</xdr:row>
      <xdr:rowOff>85725</xdr:rowOff>
    </xdr:from>
    <xdr:to>
      <xdr:col>2</xdr:col>
      <xdr:colOff>409575</xdr:colOff>
      <xdr:row>20</xdr:row>
      <xdr:rowOff>66675</xdr:rowOff>
    </xdr:to>
    <xdr:sp macro="" textlink="">
      <xdr:nvSpPr>
        <xdr:cNvPr id="20" name="Line 19"/>
        <xdr:cNvSpPr>
          <a:spLocks noChangeShapeType="1"/>
        </xdr:cNvSpPr>
      </xdr:nvSpPr>
      <xdr:spPr bwMode="auto">
        <a:xfrm flipH="1">
          <a:off x="1333500" y="3181350"/>
          <a:ext cx="57150" cy="142875"/>
        </a:xfrm>
        <a:prstGeom prst="line">
          <a:avLst/>
        </a:prstGeom>
        <a:noFill/>
        <a:ln w="9525">
          <a:solidFill>
            <a:srgbClr val="000000"/>
          </a:solidFill>
          <a:round/>
          <a:headEnd/>
          <a:tailEnd/>
        </a:ln>
      </xdr:spPr>
    </xdr:sp>
    <xdr:clientData/>
  </xdr:twoCellAnchor>
  <xdr:twoCellAnchor>
    <xdr:from>
      <xdr:col>1</xdr:col>
      <xdr:colOff>457200</xdr:colOff>
      <xdr:row>19</xdr:row>
      <xdr:rowOff>76200</xdr:rowOff>
    </xdr:from>
    <xdr:to>
      <xdr:col>1</xdr:col>
      <xdr:colOff>561975</xdr:colOff>
      <xdr:row>20</xdr:row>
      <xdr:rowOff>47625</xdr:rowOff>
    </xdr:to>
    <xdr:sp macro="" textlink="">
      <xdr:nvSpPr>
        <xdr:cNvPr id="21" name="Line 20"/>
        <xdr:cNvSpPr>
          <a:spLocks noChangeShapeType="1"/>
        </xdr:cNvSpPr>
      </xdr:nvSpPr>
      <xdr:spPr bwMode="auto">
        <a:xfrm flipH="1">
          <a:off x="828675" y="3171825"/>
          <a:ext cx="104775" cy="133350"/>
        </a:xfrm>
        <a:prstGeom prst="line">
          <a:avLst/>
        </a:prstGeom>
        <a:noFill/>
        <a:ln w="9525">
          <a:solidFill>
            <a:srgbClr val="000000"/>
          </a:solidFill>
          <a:round/>
          <a:headEnd/>
          <a:tailEnd/>
        </a:ln>
      </xdr:spPr>
    </xdr:sp>
    <xdr:clientData/>
  </xdr:twoCellAnchor>
  <xdr:twoCellAnchor>
    <xdr:from>
      <xdr:col>1</xdr:col>
      <xdr:colOff>247650</xdr:colOff>
      <xdr:row>19</xdr:row>
      <xdr:rowOff>85725</xdr:rowOff>
    </xdr:from>
    <xdr:to>
      <xdr:col>1</xdr:col>
      <xdr:colOff>352425</xdr:colOff>
      <xdr:row>20</xdr:row>
      <xdr:rowOff>104775</xdr:rowOff>
    </xdr:to>
    <xdr:sp macro="" textlink="">
      <xdr:nvSpPr>
        <xdr:cNvPr id="22" name="Line 21"/>
        <xdr:cNvSpPr>
          <a:spLocks noChangeShapeType="1"/>
        </xdr:cNvSpPr>
      </xdr:nvSpPr>
      <xdr:spPr bwMode="auto">
        <a:xfrm flipH="1">
          <a:off x="619125" y="3181350"/>
          <a:ext cx="104775" cy="180975"/>
        </a:xfrm>
        <a:prstGeom prst="line">
          <a:avLst/>
        </a:prstGeom>
        <a:noFill/>
        <a:ln w="9525">
          <a:solidFill>
            <a:srgbClr val="000000"/>
          </a:solidFill>
          <a:round/>
          <a:headEnd/>
          <a:tailEnd/>
        </a:ln>
      </xdr:spPr>
    </xdr:sp>
    <xdr:clientData/>
  </xdr:twoCellAnchor>
  <xdr:twoCellAnchor>
    <xdr:from>
      <xdr:col>1</xdr:col>
      <xdr:colOff>590550</xdr:colOff>
      <xdr:row>20</xdr:row>
      <xdr:rowOff>9525</xdr:rowOff>
    </xdr:from>
    <xdr:to>
      <xdr:col>2</xdr:col>
      <xdr:colOff>47625</xdr:colOff>
      <xdr:row>20</xdr:row>
      <xdr:rowOff>95250</xdr:rowOff>
    </xdr:to>
    <xdr:sp macro="" textlink="">
      <xdr:nvSpPr>
        <xdr:cNvPr id="23" name="Line 22"/>
        <xdr:cNvSpPr>
          <a:spLocks noChangeShapeType="1"/>
        </xdr:cNvSpPr>
      </xdr:nvSpPr>
      <xdr:spPr bwMode="auto">
        <a:xfrm flipH="1">
          <a:off x="962025" y="3267075"/>
          <a:ext cx="66675" cy="85725"/>
        </a:xfrm>
        <a:prstGeom prst="line">
          <a:avLst/>
        </a:prstGeom>
        <a:noFill/>
        <a:ln w="9525">
          <a:solidFill>
            <a:srgbClr val="000000"/>
          </a:solidFill>
          <a:round/>
          <a:headEnd/>
          <a:tailEnd/>
        </a:ln>
      </xdr:spPr>
    </xdr:sp>
    <xdr:clientData/>
  </xdr:twoCellAnchor>
  <xdr:twoCellAnchor>
    <xdr:from>
      <xdr:col>1</xdr:col>
      <xdr:colOff>428625</xdr:colOff>
      <xdr:row>20</xdr:row>
      <xdr:rowOff>28575</xdr:rowOff>
    </xdr:from>
    <xdr:to>
      <xdr:col>1</xdr:col>
      <xdr:colOff>476250</xdr:colOff>
      <xdr:row>20</xdr:row>
      <xdr:rowOff>76200</xdr:rowOff>
    </xdr:to>
    <xdr:sp macro="" textlink="">
      <xdr:nvSpPr>
        <xdr:cNvPr id="24" name="Line 23"/>
        <xdr:cNvSpPr>
          <a:spLocks noChangeShapeType="1"/>
        </xdr:cNvSpPr>
      </xdr:nvSpPr>
      <xdr:spPr bwMode="auto">
        <a:xfrm flipH="1">
          <a:off x="800100" y="3286125"/>
          <a:ext cx="47625" cy="47625"/>
        </a:xfrm>
        <a:prstGeom prst="line">
          <a:avLst/>
        </a:prstGeom>
        <a:noFill/>
        <a:ln w="9525">
          <a:solidFill>
            <a:srgbClr val="000000"/>
          </a:solidFill>
          <a:round/>
          <a:headEnd/>
          <a:tailEnd/>
        </a:ln>
      </xdr:spPr>
    </xdr:sp>
    <xdr:clientData/>
  </xdr:twoCellAnchor>
  <xdr:twoCellAnchor>
    <xdr:from>
      <xdr:col>2</xdr:col>
      <xdr:colOff>161925</xdr:colOff>
      <xdr:row>20</xdr:row>
      <xdr:rowOff>28575</xdr:rowOff>
    </xdr:from>
    <xdr:to>
      <xdr:col>2</xdr:col>
      <xdr:colOff>190500</xdr:colOff>
      <xdr:row>20</xdr:row>
      <xdr:rowOff>85725</xdr:rowOff>
    </xdr:to>
    <xdr:sp macro="" textlink="">
      <xdr:nvSpPr>
        <xdr:cNvPr id="25" name="Line 24"/>
        <xdr:cNvSpPr>
          <a:spLocks noChangeShapeType="1"/>
        </xdr:cNvSpPr>
      </xdr:nvSpPr>
      <xdr:spPr bwMode="auto">
        <a:xfrm flipH="1">
          <a:off x="1143000" y="3286125"/>
          <a:ext cx="28575" cy="57150"/>
        </a:xfrm>
        <a:prstGeom prst="line">
          <a:avLst/>
        </a:prstGeom>
        <a:noFill/>
        <a:ln w="9525">
          <a:solidFill>
            <a:srgbClr val="000000"/>
          </a:solidFill>
          <a:round/>
          <a:headEnd/>
          <a:tailEnd/>
        </a:ln>
      </xdr:spPr>
    </xdr:sp>
    <xdr:clientData/>
  </xdr:twoCellAnchor>
  <xdr:twoCellAnchor>
    <xdr:from>
      <xdr:col>6</xdr:col>
      <xdr:colOff>457200</xdr:colOff>
      <xdr:row>19</xdr:row>
      <xdr:rowOff>152400</xdr:rowOff>
    </xdr:from>
    <xdr:to>
      <xdr:col>6</xdr:col>
      <xdr:colOff>495300</xdr:colOff>
      <xdr:row>20</xdr:row>
      <xdr:rowOff>66675</xdr:rowOff>
    </xdr:to>
    <xdr:sp macro="" textlink="">
      <xdr:nvSpPr>
        <xdr:cNvPr id="26" name="Line 25"/>
        <xdr:cNvSpPr>
          <a:spLocks noChangeShapeType="1"/>
        </xdr:cNvSpPr>
      </xdr:nvSpPr>
      <xdr:spPr bwMode="auto">
        <a:xfrm flipH="1">
          <a:off x="4000500" y="3248025"/>
          <a:ext cx="38100" cy="76200"/>
        </a:xfrm>
        <a:prstGeom prst="line">
          <a:avLst/>
        </a:prstGeom>
        <a:noFill/>
        <a:ln w="9525">
          <a:solidFill>
            <a:srgbClr val="000000"/>
          </a:solidFill>
          <a:round/>
          <a:headEnd/>
          <a:tailEnd/>
        </a:ln>
      </xdr:spPr>
    </xdr:sp>
    <xdr:clientData/>
  </xdr:twoCellAnchor>
  <xdr:twoCellAnchor>
    <xdr:from>
      <xdr:col>6</xdr:col>
      <xdr:colOff>552450</xdr:colOff>
      <xdr:row>20</xdr:row>
      <xdr:rowOff>19050</xdr:rowOff>
    </xdr:from>
    <xdr:to>
      <xdr:col>6</xdr:col>
      <xdr:colOff>581025</xdr:colOff>
      <xdr:row>20</xdr:row>
      <xdr:rowOff>66675</xdr:rowOff>
    </xdr:to>
    <xdr:sp macro="" textlink="">
      <xdr:nvSpPr>
        <xdr:cNvPr id="27" name="Line 26"/>
        <xdr:cNvSpPr>
          <a:spLocks noChangeShapeType="1"/>
        </xdr:cNvSpPr>
      </xdr:nvSpPr>
      <xdr:spPr bwMode="auto">
        <a:xfrm flipH="1">
          <a:off x="4095750" y="3276600"/>
          <a:ext cx="28575" cy="47625"/>
        </a:xfrm>
        <a:prstGeom prst="line">
          <a:avLst/>
        </a:prstGeom>
        <a:noFill/>
        <a:ln w="9525">
          <a:solidFill>
            <a:srgbClr val="000000"/>
          </a:solidFill>
          <a:round/>
          <a:headEnd/>
          <a:tailEnd/>
        </a:ln>
      </xdr:spPr>
    </xdr:sp>
    <xdr:clientData/>
  </xdr:twoCellAnchor>
  <xdr:twoCellAnchor>
    <xdr:from>
      <xdr:col>1</xdr:col>
      <xdr:colOff>342900</xdr:colOff>
      <xdr:row>19</xdr:row>
      <xdr:rowOff>85725</xdr:rowOff>
    </xdr:from>
    <xdr:to>
      <xdr:col>1</xdr:col>
      <xdr:colOff>523875</xdr:colOff>
      <xdr:row>20</xdr:row>
      <xdr:rowOff>142875</xdr:rowOff>
    </xdr:to>
    <xdr:sp macro="" textlink="">
      <xdr:nvSpPr>
        <xdr:cNvPr id="28" name="Line 27"/>
        <xdr:cNvSpPr>
          <a:spLocks noChangeShapeType="1"/>
        </xdr:cNvSpPr>
      </xdr:nvSpPr>
      <xdr:spPr bwMode="auto">
        <a:xfrm>
          <a:off x="714375" y="3181350"/>
          <a:ext cx="180975" cy="219075"/>
        </a:xfrm>
        <a:prstGeom prst="line">
          <a:avLst/>
        </a:prstGeom>
        <a:noFill/>
        <a:ln w="9525">
          <a:solidFill>
            <a:srgbClr val="000000"/>
          </a:solidFill>
          <a:round/>
          <a:headEnd/>
          <a:tailEnd/>
        </a:ln>
      </xdr:spPr>
    </xdr:sp>
    <xdr:clientData/>
  </xdr:twoCellAnchor>
  <xdr:twoCellAnchor>
    <xdr:from>
      <xdr:col>1</xdr:col>
      <xdr:colOff>561975</xdr:colOff>
      <xdr:row>19</xdr:row>
      <xdr:rowOff>95250</xdr:rowOff>
    </xdr:from>
    <xdr:to>
      <xdr:col>2</xdr:col>
      <xdr:colOff>152400</xdr:colOff>
      <xdr:row>20</xdr:row>
      <xdr:rowOff>114300</xdr:rowOff>
    </xdr:to>
    <xdr:sp macro="" textlink="">
      <xdr:nvSpPr>
        <xdr:cNvPr id="29" name="Line 28"/>
        <xdr:cNvSpPr>
          <a:spLocks noChangeShapeType="1"/>
        </xdr:cNvSpPr>
      </xdr:nvSpPr>
      <xdr:spPr bwMode="auto">
        <a:xfrm>
          <a:off x="933450" y="3190875"/>
          <a:ext cx="200025" cy="180975"/>
        </a:xfrm>
        <a:prstGeom prst="line">
          <a:avLst/>
        </a:prstGeom>
        <a:noFill/>
        <a:ln w="9525">
          <a:solidFill>
            <a:srgbClr val="000000"/>
          </a:solidFill>
          <a:round/>
          <a:headEnd/>
          <a:tailEnd/>
        </a:ln>
      </xdr:spPr>
    </xdr:sp>
    <xdr:clientData/>
  </xdr:twoCellAnchor>
  <xdr:twoCellAnchor>
    <xdr:from>
      <xdr:col>2</xdr:col>
      <xdr:colOff>247650</xdr:colOff>
      <xdr:row>19</xdr:row>
      <xdr:rowOff>85725</xdr:rowOff>
    </xdr:from>
    <xdr:to>
      <xdr:col>2</xdr:col>
      <xdr:colOff>438150</xdr:colOff>
      <xdr:row>20</xdr:row>
      <xdr:rowOff>95250</xdr:rowOff>
    </xdr:to>
    <xdr:sp macro="" textlink="">
      <xdr:nvSpPr>
        <xdr:cNvPr id="30" name="Line 29"/>
        <xdr:cNvSpPr>
          <a:spLocks noChangeShapeType="1"/>
        </xdr:cNvSpPr>
      </xdr:nvSpPr>
      <xdr:spPr bwMode="auto">
        <a:xfrm>
          <a:off x="1228725" y="3181350"/>
          <a:ext cx="190500" cy="171450"/>
        </a:xfrm>
        <a:prstGeom prst="line">
          <a:avLst/>
        </a:prstGeom>
        <a:noFill/>
        <a:ln w="9525">
          <a:solidFill>
            <a:srgbClr val="000000"/>
          </a:solidFill>
          <a:round/>
          <a:headEnd/>
          <a:tailEnd/>
        </a:ln>
      </xdr:spPr>
    </xdr:sp>
    <xdr:clientData/>
  </xdr:twoCellAnchor>
  <xdr:twoCellAnchor>
    <xdr:from>
      <xdr:col>2</xdr:col>
      <xdr:colOff>104775</xdr:colOff>
      <xdr:row>19</xdr:row>
      <xdr:rowOff>95250</xdr:rowOff>
    </xdr:from>
    <xdr:to>
      <xdr:col>2</xdr:col>
      <xdr:colOff>266700</xdr:colOff>
      <xdr:row>20</xdr:row>
      <xdr:rowOff>85725</xdr:rowOff>
    </xdr:to>
    <xdr:sp macro="" textlink="">
      <xdr:nvSpPr>
        <xdr:cNvPr id="31" name="Line 30"/>
        <xdr:cNvSpPr>
          <a:spLocks noChangeShapeType="1"/>
        </xdr:cNvSpPr>
      </xdr:nvSpPr>
      <xdr:spPr bwMode="auto">
        <a:xfrm>
          <a:off x="1085850" y="3190875"/>
          <a:ext cx="161925" cy="152400"/>
        </a:xfrm>
        <a:prstGeom prst="line">
          <a:avLst/>
        </a:prstGeom>
        <a:noFill/>
        <a:ln w="9525">
          <a:solidFill>
            <a:srgbClr val="000000"/>
          </a:solidFill>
          <a:round/>
          <a:headEnd/>
          <a:tailEnd/>
        </a:ln>
      </xdr:spPr>
    </xdr:sp>
    <xdr:clientData/>
  </xdr:twoCellAnchor>
  <xdr:twoCellAnchor>
    <xdr:from>
      <xdr:col>6</xdr:col>
      <xdr:colOff>533400</xdr:colOff>
      <xdr:row>19</xdr:row>
      <xdr:rowOff>57150</xdr:rowOff>
    </xdr:from>
    <xdr:to>
      <xdr:col>7</xdr:col>
      <xdr:colOff>57150</xdr:colOff>
      <xdr:row>20</xdr:row>
      <xdr:rowOff>104775</xdr:rowOff>
    </xdr:to>
    <xdr:sp macro="" textlink="">
      <xdr:nvSpPr>
        <xdr:cNvPr id="32" name="Line 31"/>
        <xdr:cNvSpPr>
          <a:spLocks noChangeShapeType="1"/>
        </xdr:cNvSpPr>
      </xdr:nvSpPr>
      <xdr:spPr bwMode="auto">
        <a:xfrm>
          <a:off x="4076700" y="3152775"/>
          <a:ext cx="133350" cy="209550"/>
        </a:xfrm>
        <a:prstGeom prst="line">
          <a:avLst/>
        </a:prstGeom>
        <a:noFill/>
        <a:ln w="9525">
          <a:solidFill>
            <a:srgbClr val="000000"/>
          </a:solidFill>
          <a:round/>
          <a:headEnd/>
          <a:tailEnd/>
        </a:ln>
      </xdr:spPr>
    </xdr:sp>
    <xdr:clientData/>
  </xdr:twoCellAnchor>
  <xdr:twoCellAnchor>
    <xdr:from>
      <xdr:col>7</xdr:col>
      <xdr:colOff>28575</xdr:colOff>
      <xdr:row>19</xdr:row>
      <xdr:rowOff>57150</xdr:rowOff>
    </xdr:from>
    <xdr:to>
      <xdr:col>7</xdr:col>
      <xdr:colOff>142875</xdr:colOff>
      <xdr:row>20</xdr:row>
      <xdr:rowOff>66675</xdr:rowOff>
    </xdr:to>
    <xdr:sp macro="" textlink="">
      <xdr:nvSpPr>
        <xdr:cNvPr id="33" name="Line 32"/>
        <xdr:cNvSpPr>
          <a:spLocks noChangeShapeType="1"/>
        </xdr:cNvSpPr>
      </xdr:nvSpPr>
      <xdr:spPr bwMode="auto">
        <a:xfrm>
          <a:off x="4181475" y="3152775"/>
          <a:ext cx="114300" cy="171450"/>
        </a:xfrm>
        <a:prstGeom prst="line">
          <a:avLst/>
        </a:prstGeom>
        <a:noFill/>
        <a:ln w="9525">
          <a:solidFill>
            <a:srgbClr val="000000"/>
          </a:solidFill>
          <a:round/>
          <a:headEnd/>
          <a:tailEnd/>
        </a:ln>
      </xdr:spPr>
    </xdr:sp>
    <xdr:clientData/>
  </xdr:twoCellAnchor>
  <xdr:twoCellAnchor>
    <xdr:from>
      <xdr:col>7</xdr:col>
      <xdr:colOff>161925</xdr:colOff>
      <xdr:row>19</xdr:row>
      <xdr:rowOff>66675</xdr:rowOff>
    </xdr:from>
    <xdr:to>
      <xdr:col>7</xdr:col>
      <xdr:colOff>276225</xdr:colOff>
      <xdr:row>20</xdr:row>
      <xdr:rowOff>85725</xdr:rowOff>
    </xdr:to>
    <xdr:sp macro="" textlink="">
      <xdr:nvSpPr>
        <xdr:cNvPr id="34" name="Line 33"/>
        <xdr:cNvSpPr>
          <a:spLocks noChangeShapeType="1"/>
        </xdr:cNvSpPr>
      </xdr:nvSpPr>
      <xdr:spPr bwMode="auto">
        <a:xfrm>
          <a:off x="4314825" y="3162300"/>
          <a:ext cx="114300" cy="180975"/>
        </a:xfrm>
        <a:prstGeom prst="line">
          <a:avLst/>
        </a:prstGeom>
        <a:noFill/>
        <a:ln w="9525">
          <a:solidFill>
            <a:srgbClr val="000000"/>
          </a:solidFill>
          <a:round/>
          <a:headEnd/>
          <a:tailEnd/>
        </a:ln>
      </xdr:spPr>
    </xdr:sp>
    <xdr:clientData/>
  </xdr:twoCellAnchor>
  <xdr:twoCellAnchor>
    <xdr:from>
      <xdr:col>17</xdr:col>
      <xdr:colOff>371475</xdr:colOff>
      <xdr:row>20</xdr:row>
      <xdr:rowOff>19050</xdr:rowOff>
    </xdr:from>
    <xdr:to>
      <xdr:col>17</xdr:col>
      <xdr:colOff>371475</xdr:colOff>
      <xdr:row>20</xdr:row>
      <xdr:rowOff>38100</xdr:rowOff>
    </xdr:to>
    <xdr:sp macro="" textlink="">
      <xdr:nvSpPr>
        <xdr:cNvPr id="35" name="Line 34"/>
        <xdr:cNvSpPr>
          <a:spLocks noChangeShapeType="1"/>
        </xdr:cNvSpPr>
      </xdr:nvSpPr>
      <xdr:spPr bwMode="auto">
        <a:xfrm>
          <a:off x="10734675" y="3276600"/>
          <a:ext cx="0" cy="19050"/>
        </a:xfrm>
        <a:prstGeom prst="line">
          <a:avLst/>
        </a:prstGeom>
        <a:noFill/>
        <a:ln w="9525">
          <a:solidFill>
            <a:srgbClr val="000000"/>
          </a:solidFill>
          <a:round/>
          <a:headEnd/>
          <a:tailEnd/>
        </a:ln>
      </xdr:spPr>
    </xdr:sp>
    <xdr:clientData/>
  </xdr:twoCellAnchor>
  <xdr:twoCellAnchor>
    <xdr:from>
      <xdr:col>17</xdr:col>
      <xdr:colOff>371475</xdr:colOff>
      <xdr:row>20</xdr:row>
      <xdr:rowOff>9525</xdr:rowOff>
    </xdr:from>
    <xdr:to>
      <xdr:col>17</xdr:col>
      <xdr:colOff>381000</xdr:colOff>
      <xdr:row>20</xdr:row>
      <xdr:rowOff>38100</xdr:rowOff>
    </xdr:to>
    <xdr:sp macro="" textlink="">
      <xdr:nvSpPr>
        <xdr:cNvPr id="36" name="Line 35"/>
        <xdr:cNvSpPr>
          <a:spLocks noChangeShapeType="1"/>
        </xdr:cNvSpPr>
      </xdr:nvSpPr>
      <xdr:spPr bwMode="auto">
        <a:xfrm>
          <a:off x="10734675" y="3267075"/>
          <a:ext cx="9525" cy="28575"/>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7" name="Line 36"/>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8" name="Line 37"/>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39" name="Line 38"/>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40" name="Line 39"/>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171450</xdr:colOff>
      <xdr:row>26</xdr:row>
      <xdr:rowOff>104775</xdr:rowOff>
    </xdr:from>
    <xdr:to>
      <xdr:col>6</xdr:col>
      <xdr:colOff>457200</xdr:colOff>
      <xdr:row>26</xdr:row>
      <xdr:rowOff>104775</xdr:rowOff>
    </xdr:to>
    <xdr:sp macro="" textlink="">
      <xdr:nvSpPr>
        <xdr:cNvPr id="41" name="Line 40"/>
        <xdr:cNvSpPr>
          <a:spLocks noChangeShapeType="1"/>
        </xdr:cNvSpPr>
      </xdr:nvSpPr>
      <xdr:spPr bwMode="auto">
        <a:xfrm>
          <a:off x="3714750" y="4333875"/>
          <a:ext cx="285750" cy="0"/>
        </a:xfrm>
        <a:prstGeom prst="line">
          <a:avLst/>
        </a:prstGeom>
        <a:noFill/>
        <a:ln w="9525">
          <a:solidFill>
            <a:srgbClr val="000000"/>
          </a:solidFill>
          <a:round/>
          <a:headEnd/>
          <a:tailEnd/>
        </a:ln>
      </xdr:spPr>
    </xdr:sp>
    <xdr:clientData/>
  </xdr:twoCellAnchor>
  <xdr:twoCellAnchor>
    <xdr:from>
      <xdr:col>6</xdr:col>
      <xdr:colOff>447675</xdr:colOff>
      <xdr:row>26</xdr:row>
      <xdr:rowOff>57150</xdr:rowOff>
    </xdr:from>
    <xdr:to>
      <xdr:col>6</xdr:col>
      <xdr:colOff>447675</xdr:colOff>
      <xdr:row>26</xdr:row>
      <xdr:rowOff>142875</xdr:rowOff>
    </xdr:to>
    <xdr:sp macro="" textlink="">
      <xdr:nvSpPr>
        <xdr:cNvPr id="42" name="Line 41"/>
        <xdr:cNvSpPr>
          <a:spLocks noChangeShapeType="1"/>
        </xdr:cNvSpPr>
      </xdr:nvSpPr>
      <xdr:spPr bwMode="auto">
        <a:xfrm>
          <a:off x="3990975" y="4286250"/>
          <a:ext cx="0" cy="85725"/>
        </a:xfrm>
        <a:prstGeom prst="line">
          <a:avLst/>
        </a:prstGeom>
        <a:noFill/>
        <a:ln w="9525">
          <a:solidFill>
            <a:srgbClr val="000000"/>
          </a:solidFill>
          <a:round/>
          <a:headEnd/>
          <a:tailEnd/>
        </a:ln>
      </xdr:spPr>
    </xdr:sp>
    <xdr:clientData/>
  </xdr:twoCellAnchor>
  <xdr:twoCellAnchor>
    <xdr:from>
      <xdr:col>6</xdr:col>
      <xdr:colOff>323850</xdr:colOff>
      <xdr:row>25</xdr:row>
      <xdr:rowOff>85725</xdr:rowOff>
    </xdr:from>
    <xdr:to>
      <xdr:col>6</xdr:col>
      <xdr:colOff>409575</xdr:colOff>
      <xdr:row>26</xdr:row>
      <xdr:rowOff>85725</xdr:rowOff>
    </xdr:to>
    <xdr:sp macro="" textlink="">
      <xdr:nvSpPr>
        <xdr:cNvPr id="43" name="Line 42"/>
        <xdr:cNvSpPr>
          <a:spLocks noChangeShapeType="1"/>
        </xdr:cNvSpPr>
      </xdr:nvSpPr>
      <xdr:spPr bwMode="auto">
        <a:xfrm flipV="1">
          <a:off x="3867150" y="4152900"/>
          <a:ext cx="85725" cy="161925"/>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44" name="Line 43"/>
        <xdr:cNvSpPr>
          <a:spLocks noChangeShapeType="1"/>
        </xdr:cNvSpPr>
      </xdr:nvSpPr>
      <xdr:spPr bwMode="auto">
        <a:xfrm>
          <a:off x="3981450" y="459105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45" name="Line 44"/>
        <xdr:cNvSpPr>
          <a:spLocks noChangeShapeType="1"/>
        </xdr:cNvSpPr>
      </xdr:nvSpPr>
      <xdr:spPr bwMode="auto">
        <a:xfrm>
          <a:off x="3990975" y="4705350"/>
          <a:ext cx="180975" cy="95250"/>
        </a:xfrm>
        <a:prstGeom prst="line">
          <a:avLst/>
        </a:prstGeom>
        <a:noFill/>
        <a:ln w="9525">
          <a:solidFill>
            <a:srgbClr val="000000"/>
          </a:solidFill>
          <a:round/>
          <a:headEnd/>
          <a:tailEnd/>
        </a:ln>
      </xdr:spPr>
    </xdr:sp>
    <xdr:clientData/>
  </xdr:twoCellAnchor>
  <xdr:twoCellAnchor>
    <xdr:from>
      <xdr:col>37</xdr:col>
      <xdr:colOff>9525</xdr:colOff>
      <xdr:row>34</xdr:row>
      <xdr:rowOff>142875</xdr:rowOff>
    </xdr:from>
    <xdr:to>
      <xdr:col>41</xdr:col>
      <xdr:colOff>152400</xdr:colOff>
      <xdr:row>34</xdr:row>
      <xdr:rowOff>142875</xdr:rowOff>
    </xdr:to>
    <xdr:sp macro="" textlink="">
      <xdr:nvSpPr>
        <xdr:cNvPr id="46" name="Line 45"/>
        <xdr:cNvSpPr>
          <a:spLocks noChangeShapeType="1"/>
        </xdr:cNvSpPr>
      </xdr:nvSpPr>
      <xdr:spPr bwMode="auto">
        <a:xfrm>
          <a:off x="22564725" y="5686425"/>
          <a:ext cx="2581275" cy="0"/>
        </a:xfrm>
        <a:prstGeom prst="line">
          <a:avLst/>
        </a:prstGeom>
        <a:noFill/>
        <a:ln w="9525">
          <a:solidFill>
            <a:srgbClr val="000000"/>
          </a:solidFill>
          <a:round/>
          <a:headEnd/>
          <a:tailEnd/>
        </a:ln>
      </xdr:spPr>
    </xdr:sp>
    <xdr:clientData/>
  </xdr:twoCellAnchor>
  <xdr:twoCellAnchor>
    <xdr:from>
      <xdr:col>26</xdr:col>
      <xdr:colOff>257175</xdr:colOff>
      <xdr:row>31</xdr:row>
      <xdr:rowOff>47625</xdr:rowOff>
    </xdr:from>
    <xdr:to>
      <xdr:col>26</xdr:col>
      <xdr:colOff>257175</xdr:colOff>
      <xdr:row>32</xdr:row>
      <xdr:rowOff>9525</xdr:rowOff>
    </xdr:to>
    <xdr:sp macro="" textlink="">
      <xdr:nvSpPr>
        <xdr:cNvPr id="47" name="Line 46"/>
        <xdr:cNvSpPr>
          <a:spLocks noChangeShapeType="1"/>
        </xdr:cNvSpPr>
      </xdr:nvSpPr>
      <xdr:spPr bwMode="auto">
        <a:xfrm>
          <a:off x="16106775" y="5105400"/>
          <a:ext cx="0" cy="123825"/>
        </a:xfrm>
        <a:prstGeom prst="line">
          <a:avLst/>
        </a:prstGeom>
        <a:noFill/>
        <a:ln w="9525">
          <a:solidFill>
            <a:srgbClr val="000000"/>
          </a:solidFill>
          <a:round/>
          <a:headEnd/>
          <a:tailEnd/>
        </a:ln>
      </xdr:spPr>
    </xdr:sp>
    <xdr:clientData/>
  </xdr:twoCellAnchor>
  <xdr:twoCellAnchor>
    <xdr:from>
      <xdr:col>40</xdr:col>
      <xdr:colOff>247650</xdr:colOff>
      <xdr:row>32</xdr:row>
      <xdr:rowOff>47625</xdr:rowOff>
    </xdr:from>
    <xdr:to>
      <xdr:col>40</xdr:col>
      <xdr:colOff>247650</xdr:colOff>
      <xdr:row>33</xdr:row>
      <xdr:rowOff>57150</xdr:rowOff>
    </xdr:to>
    <xdr:sp macro="" textlink="">
      <xdr:nvSpPr>
        <xdr:cNvPr id="48" name="Line 47"/>
        <xdr:cNvSpPr>
          <a:spLocks noChangeShapeType="1"/>
        </xdr:cNvSpPr>
      </xdr:nvSpPr>
      <xdr:spPr bwMode="auto">
        <a:xfrm>
          <a:off x="24631650" y="5267325"/>
          <a:ext cx="0" cy="171450"/>
        </a:xfrm>
        <a:prstGeom prst="line">
          <a:avLst/>
        </a:prstGeom>
        <a:noFill/>
        <a:ln w="9525">
          <a:solidFill>
            <a:srgbClr val="000000"/>
          </a:solidFill>
          <a:round/>
          <a:headEnd/>
          <a:tailEnd/>
        </a:ln>
      </xdr:spPr>
    </xdr:sp>
    <xdr:clientData/>
  </xdr:twoCellAnchor>
  <xdr:twoCellAnchor>
    <xdr:from>
      <xdr:col>30</xdr:col>
      <xdr:colOff>238125</xdr:colOff>
      <xdr:row>73</xdr:row>
      <xdr:rowOff>38100</xdr:rowOff>
    </xdr:from>
    <xdr:to>
      <xdr:col>30</xdr:col>
      <xdr:colOff>314325</xdr:colOff>
      <xdr:row>73</xdr:row>
      <xdr:rowOff>76200</xdr:rowOff>
    </xdr:to>
    <xdr:sp macro="" textlink="">
      <xdr:nvSpPr>
        <xdr:cNvPr id="49" name="Line 48"/>
        <xdr:cNvSpPr>
          <a:spLocks noChangeShapeType="1"/>
        </xdr:cNvSpPr>
      </xdr:nvSpPr>
      <xdr:spPr bwMode="auto">
        <a:xfrm flipH="1">
          <a:off x="18526125" y="16421100"/>
          <a:ext cx="76200" cy="38100"/>
        </a:xfrm>
        <a:prstGeom prst="line">
          <a:avLst/>
        </a:prstGeom>
        <a:noFill/>
        <a:ln w="9525">
          <a:solidFill>
            <a:srgbClr val="000000"/>
          </a:solidFill>
          <a:round/>
          <a:headEnd/>
          <a:tailEnd/>
        </a:ln>
      </xdr:spPr>
    </xdr:sp>
    <xdr:clientData/>
  </xdr:twoCellAnchor>
  <xdr:twoCellAnchor>
    <xdr:from>
      <xdr:col>34</xdr:col>
      <xdr:colOff>190500</xdr:colOff>
      <xdr:row>68</xdr:row>
      <xdr:rowOff>85725</xdr:rowOff>
    </xdr:from>
    <xdr:to>
      <xdr:col>34</xdr:col>
      <xdr:colOff>314325</xdr:colOff>
      <xdr:row>68</xdr:row>
      <xdr:rowOff>85725</xdr:rowOff>
    </xdr:to>
    <xdr:sp macro="" textlink="">
      <xdr:nvSpPr>
        <xdr:cNvPr id="50" name="Line 49"/>
        <xdr:cNvSpPr>
          <a:spLocks noChangeShapeType="1"/>
        </xdr:cNvSpPr>
      </xdr:nvSpPr>
      <xdr:spPr bwMode="auto">
        <a:xfrm>
          <a:off x="20916900" y="15125700"/>
          <a:ext cx="123825" cy="0"/>
        </a:xfrm>
        <a:prstGeom prst="line">
          <a:avLst/>
        </a:prstGeom>
        <a:noFill/>
        <a:ln w="9525">
          <a:solidFill>
            <a:srgbClr val="000000"/>
          </a:solidFill>
          <a:round/>
          <a:headEnd/>
          <a:tailEnd/>
        </a:ln>
      </xdr:spPr>
    </xdr:sp>
    <xdr:clientData/>
  </xdr:twoCellAnchor>
  <xdr:twoCellAnchor>
    <xdr:from>
      <xdr:col>3</xdr:col>
      <xdr:colOff>9525</xdr:colOff>
      <xdr:row>17</xdr:row>
      <xdr:rowOff>19050</xdr:rowOff>
    </xdr:from>
    <xdr:to>
      <xdr:col>3</xdr:col>
      <xdr:colOff>171450</xdr:colOff>
      <xdr:row>27</xdr:row>
      <xdr:rowOff>0</xdr:rowOff>
    </xdr:to>
    <xdr:sp macro="" textlink="">
      <xdr:nvSpPr>
        <xdr:cNvPr id="51" name="Rectangle 50"/>
        <xdr:cNvSpPr>
          <a:spLocks noChangeArrowheads="1"/>
        </xdr:cNvSpPr>
      </xdr:nvSpPr>
      <xdr:spPr bwMode="auto">
        <a:xfrm>
          <a:off x="1600200" y="2790825"/>
          <a:ext cx="161925" cy="1600200"/>
        </a:xfrm>
        <a:prstGeom prst="rect">
          <a:avLst/>
        </a:prstGeom>
        <a:noFill/>
        <a:ln w="9525">
          <a:solidFill>
            <a:srgbClr val="000000"/>
          </a:solidFill>
          <a:miter lim="800000"/>
          <a:headEnd/>
          <a:tailEnd/>
        </a:ln>
      </xdr:spPr>
    </xdr:sp>
    <xdr:clientData/>
  </xdr:twoCellAnchor>
  <xdr:twoCellAnchor>
    <xdr:from>
      <xdr:col>6</xdr:col>
      <xdr:colOff>9525</xdr:colOff>
      <xdr:row>17</xdr:row>
      <xdr:rowOff>19050</xdr:rowOff>
    </xdr:from>
    <xdr:to>
      <xdr:col>6</xdr:col>
      <xdr:colOff>171450</xdr:colOff>
      <xdr:row>27</xdr:row>
      <xdr:rowOff>0</xdr:rowOff>
    </xdr:to>
    <xdr:sp macro="" textlink="">
      <xdr:nvSpPr>
        <xdr:cNvPr id="52" name="Rectangle 51"/>
        <xdr:cNvSpPr>
          <a:spLocks noChangeArrowheads="1"/>
        </xdr:cNvSpPr>
      </xdr:nvSpPr>
      <xdr:spPr bwMode="auto">
        <a:xfrm>
          <a:off x="3552825" y="2790825"/>
          <a:ext cx="161925" cy="1600200"/>
        </a:xfrm>
        <a:prstGeom prst="rect">
          <a:avLst/>
        </a:prstGeom>
        <a:noFill/>
        <a:ln w="9525">
          <a:solidFill>
            <a:srgbClr val="000000"/>
          </a:solidFill>
          <a:miter lim="800000"/>
          <a:headEnd/>
          <a:tailEnd/>
        </a:ln>
      </xdr:spPr>
    </xdr:sp>
    <xdr:clientData/>
  </xdr:twoCellAnchor>
  <xdr:twoCellAnchor>
    <xdr:from>
      <xdr:col>2</xdr:col>
      <xdr:colOff>333375</xdr:colOff>
      <xdr:row>27</xdr:row>
      <xdr:rowOff>0</xdr:rowOff>
    </xdr:from>
    <xdr:to>
      <xdr:col>6</xdr:col>
      <xdr:colOff>447675</xdr:colOff>
      <xdr:row>28</xdr:row>
      <xdr:rowOff>0</xdr:rowOff>
    </xdr:to>
    <xdr:sp macro="" textlink="">
      <xdr:nvSpPr>
        <xdr:cNvPr id="53" name="Rectangle 52"/>
        <xdr:cNvSpPr>
          <a:spLocks noChangeArrowheads="1"/>
        </xdr:cNvSpPr>
      </xdr:nvSpPr>
      <xdr:spPr bwMode="auto">
        <a:xfrm>
          <a:off x="1314450" y="4391025"/>
          <a:ext cx="2676525" cy="161925"/>
        </a:xfrm>
        <a:prstGeom prst="rect">
          <a:avLst/>
        </a:prstGeom>
        <a:noFill/>
        <a:ln w="9525">
          <a:solidFill>
            <a:srgbClr val="000000"/>
          </a:solidFill>
          <a:miter lim="800000"/>
          <a:headEnd/>
          <a:tailEnd/>
        </a:ln>
      </xdr:spPr>
    </xdr:sp>
    <xdr:clientData/>
  </xdr:twoCellAnchor>
  <xdr:twoCellAnchor>
    <xdr:from>
      <xdr:col>2</xdr:col>
      <xdr:colOff>333375</xdr:colOff>
      <xdr:row>28</xdr:row>
      <xdr:rowOff>9525</xdr:rowOff>
    </xdr:from>
    <xdr:to>
      <xdr:col>6</xdr:col>
      <xdr:colOff>447675</xdr:colOff>
      <xdr:row>28</xdr:row>
      <xdr:rowOff>95250</xdr:rowOff>
    </xdr:to>
    <xdr:sp macro="" textlink="">
      <xdr:nvSpPr>
        <xdr:cNvPr id="54" name="Rectangle 53"/>
        <xdr:cNvSpPr>
          <a:spLocks noChangeArrowheads="1"/>
        </xdr:cNvSpPr>
      </xdr:nvSpPr>
      <xdr:spPr bwMode="auto">
        <a:xfrm>
          <a:off x="1314450" y="4562475"/>
          <a:ext cx="2676525" cy="85725"/>
        </a:xfrm>
        <a:prstGeom prst="rect">
          <a:avLst/>
        </a:prstGeom>
        <a:noFill/>
        <a:ln w="9525">
          <a:solidFill>
            <a:srgbClr val="000000"/>
          </a:solidFill>
          <a:miter lim="800000"/>
          <a:headEnd/>
          <a:tailEnd/>
        </a:ln>
      </xdr:spPr>
    </xdr:sp>
    <xdr:clientData/>
  </xdr:twoCellAnchor>
  <xdr:twoCellAnchor>
    <xdr:from>
      <xdr:col>2</xdr:col>
      <xdr:colOff>342900</xdr:colOff>
      <xdr:row>28</xdr:row>
      <xdr:rowOff>104775</xdr:rowOff>
    </xdr:from>
    <xdr:to>
      <xdr:col>6</xdr:col>
      <xdr:colOff>447675</xdr:colOff>
      <xdr:row>29</xdr:row>
      <xdr:rowOff>38100</xdr:rowOff>
    </xdr:to>
    <xdr:sp macro="" textlink="">
      <xdr:nvSpPr>
        <xdr:cNvPr id="55" name="Rectangle 54"/>
        <xdr:cNvSpPr>
          <a:spLocks noChangeArrowheads="1"/>
        </xdr:cNvSpPr>
      </xdr:nvSpPr>
      <xdr:spPr bwMode="auto">
        <a:xfrm>
          <a:off x="1323975" y="4657725"/>
          <a:ext cx="2667000" cy="95250"/>
        </a:xfrm>
        <a:prstGeom prst="rect">
          <a:avLst/>
        </a:prstGeom>
        <a:noFill/>
        <a:ln w="9525">
          <a:solidFill>
            <a:srgbClr val="000000"/>
          </a:solidFill>
          <a:miter lim="800000"/>
          <a:headEnd/>
          <a:tailEnd/>
        </a:ln>
      </xdr:spPr>
    </xdr:sp>
    <xdr:clientData/>
  </xdr:twoCellAnchor>
  <xdr:twoCellAnchor>
    <xdr:from>
      <xdr:col>18</xdr:col>
      <xdr:colOff>0</xdr:colOff>
      <xdr:row>19</xdr:row>
      <xdr:rowOff>142875</xdr:rowOff>
    </xdr:from>
    <xdr:to>
      <xdr:col>18</xdr:col>
      <xdr:colOff>0</xdr:colOff>
      <xdr:row>19</xdr:row>
      <xdr:rowOff>152400</xdr:rowOff>
    </xdr:to>
    <xdr:sp macro="" textlink="">
      <xdr:nvSpPr>
        <xdr:cNvPr id="56" name="Arc 55"/>
        <xdr:cNvSpPr>
          <a:spLocks/>
        </xdr:cNvSpPr>
      </xdr:nvSpPr>
      <xdr:spPr bwMode="auto">
        <a:xfrm>
          <a:off x="10972800" y="3238500"/>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23</xdr:row>
      <xdr:rowOff>95250</xdr:rowOff>
    </xdr:from>
    <xdr:to>
      <xdr:col>4</xdr:col>
      <xdr:colOff>352425</xdr:colOff>
      <xdr:row>23</xdr:row>
      <xdr:rowOff>95250</xdr:rowOff>
    </xdr:to>
    <xdr:sp macro="" textlink="">
      <xdr:nvSpPr>
        <xdr:cNvPr id="57" name="Line 56"/>
        <xdr:cNvSpPr>
          <a:spLocks noChangeShapeType="1"/>
        </xdr:cNvSpPr>
      </xdr:nvSpPr>
      <xdr:spPr bwMode="auto">
        <a:xfrm>
          <a:off x="1762125" y="3838575"/>
          <a:ext cx="790575" cy="0"/>
        </a:xfrm>
        <a:prstGeom prst="line">
          <a:avLst/>
        </a:prstGeom>
        <a:noFill/>
        <a:ln w="9525">
          <a:solidFill>
            <a:srgbClr val="000000"/>
          </a:solidFill>
          <a:round/>
          <a:headEnd/>
          <a:tailEnd/>
        </a:ln>
      </xdr:spPr>
    </xdr:sp>
    <xdr:clientData/>
  </xdr:twoCellAnchor>
  <xdr:twoCellAnchor>
    <xdr:from>
      <xdr:col>5</xdr:col>
      <xdr:colOff>76200</xdr:colOff>
      <xdr:row>23</xdr:row>
      <xdr:rowOff>104775</xdr:rowOff>
    </xdr:from>
    <xdr:to>
      <xdr:col>5</xdr:col>
      <xdr:colOff>600075</xdr:colOff>
      <xdr:row>23</xdr:row>
      <xdr:rowOff>104775</xdr:rowOff>
    </xdr:to>
    <xdr:sp macro="" textlink="">
      <xdr:nvSpPr>
        <xdr:cNvPr id="58" name="Line 57"/>
        <xdr:cNvSpPr>
          <a:spLocks noChangeShapeType="1"/>
        </xdr:cNvSpPr>
      </xdr:nvSpPr>
      <xdr:spPr bwMode="auto">
        <a:xfrm flipH="1">
          <a:off x="3009900" y="3848100"/>
          <a:ext cx="523875" cy="0"/>
        </a:xfrm>
        <a:prstGeom prst="line">
          <a:avLst/>
        </a:prstGeom>
        <a:noFill/>
        <a:ln w="9525">
          <a:solidFill>
            <a:srgbClr val="000000"/>
          </a:solidFill>
          <a:round/>
          <a:headEnd/>
          <a:tailEnd/>
        </a:ln>
      </xdr:spPr>
    </xdr:sp>
    <xdr:clientData/>
  </xdr:twoCellAnchor>
  <xdr:twoCellAnchor>
    <xdr:from>
      <xdr:col>1</xdr:col>
      <xdr:colOff>152400</xdr:colOff>
      <xdr:row>19</xdr:row>
      <xdr:rowOff>76200</xdr:rowOff>
    </xdr:from>
    <xdr:to>
      <xdr:col>2</xdr:col>
      <xdr:colOff>600075</xdr:colOff>
      <xdr:row>19</xdr:row>
      <xdr:rowOff>76200</xdr:rowOff>
    </xdr:to>
    <xdr:sp macro="" textlink="">
      <xdr:nvSpPr>
        <xdr:cNvPr id="59" name="Line 58"/>
        <xdr:cNvSpPr>
          <a:spLocks noChangeShapeType="1"/>
        </xdr:cNvSpPr>
      </xdr:nvSpPr>
      <xdr:spPr bwMode="auto">
        <a:xfrm>
          <a:off x="523875" y="3171825"/>
          <a:ext cx="1057275" cy="0"/>
        </a:xfrm>
        <a:prstGeom prst="line">
          <a:avLst/>
        </a:prstGeom>
        <a:noFill/>
        <a:ln w="9525">
          <a:solidFill>
            <a:srgbClr val="000000"/>
          </a:solidFill>
          <a:round/>
          <a:headEnd/>
          <a:tailEnd/>
        </a:ln>
      </xdr:spPr>
    </xdr:sp>
    <xdr:clientData/>
  </xdr:twoCellAnchor>
  <xdr:twoCellAnchor>
    <xdr:from>
      <xdr:col>6</xdr:col>
      <xdr:colOff>190500</xdr:colOff>
      <xdr:row>19</xdr:row>
      <xdr:rowOff>66675</xdr:rowOff>
    </xdr:from>
    <xdr:to>
      <xdr:col>7</xdr:col>
      <xdr:colOff>314325</xdr:colOff>
      <xdr:row>19</xdr:row>
      <xdr:rowOff>66675</xdr:rowOff>
    </xdr:to>
    <xdr:sp macro="" textlink="">
      <xdr:nvSpPr>
        <xdr:cNvPr id="60" name="Line 59"/>
        <xdr:cNvSpPr>
          <a:spLocks noChangeShapeType="1"/>
        </xdr:cNvSpPr>
      </xdr:nvSpPr>
      <xdr:spPr bwMode="auto">
        <a:xfrm>
          <a:off x="3733800" y="3162300"/>
          <a:ext cx="733425" cy="0"/>
        </a:xfrm>
        <a:prstGeom prst="line">
          <a:avLst/>
        </a:prstGeom>
        <a:noFill/>
        <a:ln w="9525">
          <a:solidFill>
            <a:srgbClr val="000000"/>
          </a:solidFill>
          <a:round/>
          <a:headEnd/>
          <a:tailEnd/>
        </a:ln>
      </xdr:spPr>
    </xdr:sp>
    <xdr:clientData/>
  </xdr:twoCellAnchor>
  <xdr:twoCellAnchor>
    <xdr:from>
      <xdr:col>3</xdr:col>
      <xdr:colOff>152400</xdr:colOff>
      <xdr:row>23</xdr:row>
      <xdr:rowOff>38100</xdr:rowOff>
    </xdr:from>
    <xdr:to>
      <xdr:col>3</xdr:col>
      <xdr:colOff>247650</xdr:colOff>
      <xdr:row>23</xdr:row>
      <xdr:rowOff>114300</xdr:rowOff>
    </xdr:to>
    <xdr:sp macro="" textlink="">
      <xdr:nvSpPr>
        <xdr:cNvPr id="61" name="Line 60"/>
        <xdr:cNvSpPr>
          <a:spLocks noChangeShapeType="1"/>
        </xdr:cNvSpPr>
      </xdr:nvSpPr>
      <xdr:spPr bwMode="auto">
        <a:xfrm flipV="1">
          <a:off x="1743075" y="3781425"/>
          <a:ext cx="95250" cy="76200"/>
        </a:xfrm>
        <a:prstGeom prst="line">
          <a:avLst/>
        </a:prstGeom>
        <a:noFill/>
        <a:ln w="9525">
          <a:solidFill>
            <a:srgbClr val="000000"/>
          </a:solidFill>
          <a:round/>
          <a:headEnd/>
          <a:tailEnd/>
        </a:ln>
      </xdr:spPr>
    </xdr:sp>
    <xdr:clientData/>
  </xdr:twoCellAnchor>
  <xdr:twoCellAnchor>
    <xdr:from>
      <xdr:col>5</xdr:col>
      <xdr:colOff>590550</xdr:colOff>
      <xdr:row>23</xdr:row>
      <xdr:rowOff>47625</xdr:rowOff>
    </xdr:from>
    <xdr:to>
      <xdr:col>6</xdr:col>
      <xdr:colOff>66675</xdr:colOff>
      <xdr:row>23</xdr:row>
      <xdr:rowOff>142875</xdr:rowOff>
    </xdr:to>
    <xdr:sp macro="" textlink="">
      <xdr:nvSpPr>
        <xdr:cNvPr id="62" name="Line 61"/>
        <xdr:cNvSpPr>
          <a:spLocks noChangeShapeType="1"/>
        </xdr:cNvSpPr>
      </xdr:nvSpPr>
      <xdr:spPr bwMode="auto">
        <a:xfrm flipV="1">
          <a:off x="3524250" y="3790950"/>
          <a:ext cx="85725" cy="95250"/>
        </a:xfrm>
        <a:prstGeom prst="line">
          <a:avLst/>
        </a:prstGeom>
        <a:noFill/>
        <a:ln w="9525">
          <a:solidFill>
            <a:srgbClr val="000000"/>
          </a:solidFill>
          <a:round/>
          <a:headEnd/>
          <a:tailEnd/>
        </a:ln>
      </xdr:spPr>
    </xdr:sp>
    <xdr:clientData/>
  </xdr:twoCellAnchor>
  <xdr:twoCellAnchor>
    <xdr:from>
      <xdr:col>6</xdr:col>
      <xdr:colOff>495300</xdr:colOff>
      <xdr:row>19</xdr:row>
      <xdr:rowOff>57150</xdr:rowOff>
    </xdr:from>
    <xdr:to>
      <xdr:col>6</xdr:col>
      <xdr:colOff>561975</xdr:colOff>
      <xdr:row>20</xdr:row>
      <xdr:rowOff>9525</xdr:rowOff>
    </xdr:to>
    <xdr:sp macro="" textlink="">
      <xdr:nvSpPr>
        <xdr:cNvPr id="63" name="Line 62"/>
        <xdr:cNvSpPr>
          <a:spLocks noChangeShapeType="1"/>
        </xdr:cNvSpPr>
      </xdr:nvSpPr>
      <xdr:spPr bwMode="auto">
        <a:xfrm flipH="1">
          <a:off x="4038600" y="3152775"/>
          <a:ext cx="66675" cy="114300"/>
        </a:xfrm>
        <a:prstGeom prst="line">
          <a:avLst/>
        </a:prstGeom>
        <a:noFill/>
        <a:ln w="9525">
          <a:solidFill>
            <a:srgbClr val="000000"/>
          </a:solidFill>
          <a:round/>
          <a:headEnd/>
          <a:tailEnd/>
        </a:ln>
      </xdr:spPr>
    </xdr:sp>
    <xdr:clientData/>
  </xdr:twoCellAnchor>
  <xdr:twoCellAnchor>
    <xdr:from>
      <xdr:col>6</xdr:col>
      <xdr:colOff>571500</xdr:colOff>
      <xdr:row>19</xdr:row>
      <xdr:rowOff>76200</xdr:rowOff>
    </xdr:from>
    <xdr:to>
      <xdr:col>7</xdr:col>
      <xdr:colOff>19050</xdr:colOff>
      <xdr:row>20</xdr:row>
      <xdr:rowOff>38100</xdr:rowOff>
    </xdr:to>
    <xdr:sp macro="" textlink="">
      <xdr:nvSpPr>
        <xdr:cNvPr id="64" name="Line 63"/>
        <xdr:cNvSpPr>
          <a:spLocks noChangeShapeType="1"/>
        </xdr:cNvSpPr>
      </xdr:nvSpPr>
      <xdr:spPr bwMode="auto">
        <a:xfrm flipH="1">
          <a:off x="4114800" y="3171825"/>
          <a:ext cx="57150" cy="123825"/>
        </a:xfrm>
        <a:prstGeom prst="line">
          <a:avLst/>
        </a:prstGeom>
        <a:noFill/>
        <a:ln w="9525">
          <a:solidFill>
            <a:srgbClr val="000000"/>
          </a:solidFill>
          <a:round/>
          <a:headEnd/>
          <a:tailEnd/>
        </a:ln>
      </xdr:spPr>
    </xdr:sp>
    <xdr:clientData/>
  </xdr:twoCellAnchor>
  <xdr:twoCellAnchor>
    <xdr:from>
      <xdr:col>7</xdr:col>
      <xdr:colOff>76200</xdr:colOff>
      <xdr:row>19</xdr:row>
      <xdr:rowOff>57150</xdr:rowOff>
    </xdr:from>
    <xdr:to>
      <xdr:col>7</xdr:col>
      <xdr:colOff>152400</xdr:colOff>
      <xdr:row>20</xdr:row>
      <xdr:rowOff>76200</xdr:rowOff>
    </xdr:to>
    <xdr:sp macro="" textlink="">
      <xdr:nvSpPr>
        <xdr:cNvPr id="65" name="Line 64"/>
        <xdr:cNvSpPr>
          <a:spLocks noChangeShapeType="1"/>
        </xdr:cNvSpPr>
      </xdr:nvSpPr>
      <xdr:spPr bwMode="auto">
        <a:xfrm flipH="1">
          <a:off x="4229100" y="3152775"/>
          <a:ext cx="76200" cy="180975"/>
        </a:xfrm>
        <a:prstGeom prst="line">
          <a:avLst/>
        </a:prstGeom>
        <a:noFill/>
        <a:ln w="9525">
          <a:solidFill>
            <a:srgbClr val="000000"/>
          </a:solidFill>
          <a:round/>
          <a:headEnd/>
          <a:tailEnd/>
        </a:ln>
      </xdr:spPr>
    </xdr:sp>
    <xdr:clientData/>
  </xdr:twoCellAnchor>
  <xdr:twoCellAnchor>
    <xdr:from>
      <xdr:col>7</xdr:col>
      <xdr:colOff>171450</xdr:colOff>
      <xdr:row>19</xdr:row>
      <xdr:rowOff>66675</xdr:rowOff>
    </xdr:from>
    <xdr:to>
      <xdr:col>7</xdr:col>
      <xdr:colOff>276225</xdr:colOff>
      <xdr:row>20</xdr:row>
      <xdr:rowOff>123825</xdr:rowOff>
    </xdr:to>
    <xdr:sp macro="" textlink="">
      <xdr:nvSpPr>
        <xdr:cNvPr id="66" name="Line 65"/>
        <xdr:cNvSpPr>
          <a:spLocks noChangeShapeType="1"/>
        </xdr:cNvSpPr>
      </xdr:nvSpPr>
      <xdr:spPr bwMode="auto">
        <a:xfrm flipH="1">
          <a:off x="4324350" y="3162300"/>
          <a:ext cx="104775" cy="219075"/>
        </a:xfrm>
        <a:prstGeom prst="line">
          <a:avLst/>
        </a:prstGeom>
        <a:noFill/>
        <a:ln w="9525">
          <a:solidFill>
            <a:srgbClr val="000000"/>
          </a:solidFill>
          <a:round/>
          <a:headEnd/>
          <a:tailEnd/>
        </a:ln>
      </xdr:spPr>
    </xdr:sp>
    <xdr:clientData/>
  </xdr:twoCellAnchor>
  <xdr:twoCellAnchor>
    <xdr:from>
      <xdr:col>2</xdr:col>
      <xdr:colOff>28575</xdr:colOff>
      <xdr:row>19</xdr:row>
      <xdr:rowOff>85725</xdr:rowOff>
    </xdr:from>
    <xdr:to>
      <xdr:col>2</xdr:col>
      <xdr:colOff>104775</xdr:colOff>
      <xdr:row>20</xdr:row>
      <xdr:rowOff>9525</xdr:rowOff>
    </xdr:to>
    <xdr:sp macro="" textlink="">
      <xdr:nvSpPr>
        <xdr:cNvPr id="67" name="Line 66"/>
        <xdr:cNvSpPr>
          <a:spLocks noChangeShapeType="1"/>
        </xdr:cNvSpPr>
      </xdr:nvSpPr>
      <xdr:spPr bwMode="auto">
        <a:xfrm flipH="1">
          <a:off x="1009650" y="3181350"/>
          <a:ext cx="76200" cy="85725"/>
        </a:xfrm>
        <a:prstGeom prst="line">
          <a:avLst/>
        </a:prstGeom>
        <a:noFill/>
        <a:ln w="9525">
          <a:solidFill>
            <a:srgbClr val="000000"/>
          </a:solidFill>
          <a:round/>
          <a:headEnd/>
          <a:tailEnd/>
        </a:ln>
      </xdr:spPr>
    </xdr:sp>
    <xdr:clientData/>
  </xdr:twoCellAnchor>
  <xdr:twoCellAnchor>
    <xdr:from>
      <xdr:col>2</xdr:col>
      <xdr:colOff>171450</xdr:colOff>
      <xdr:row>19</xdr:row>
      <xdr:rowOff>85725</xdr:rowOff>
    </xdr:from>
    <xdr:to>
      <xdr:col>2</xdr:col>
      <xdr:colOff>247650</xdr:colOff>
      <xdr:row>20</xdr:row>
      <xdr:rowOff>57150</xdr:rowOff>
    </xdr:to>
    <xdr:sp macro="" textlink="">
      <xdr:nvSpPr>
        <xdr:cNvPr id="68" name="Line 67"/>
        <xdr:cNvSpPr>
          <a:spLocks noChangeShapeType="1"/>
        </xdr:cNvSpPr>
      </xdr:nvSpPr>
      <xdr:spPr bwMode="auto">
        <a:xfrm flipH="1">
          <a:off x="1152525" y="3181350"/>
          <a:ext cx="76200" cy="133350"/>
        </a:xfrm>
        <a:prstGeom prst="line">
          <a:avLst/>
        </a:prstGeom>
        <a:noFill/>
        <a:ln w="9525">
          <a:solidFill>
            <a:srgbClr val="000000"/>
          </a:solidFill>
          <a:round/>
          <a:headEnd/>
          <a:tailEnd/>
        </a:ln>
      </xdr:spPr>
    </xdr:sp>
    <xdr:clientData/>
  </xdr:twoCellAnchor>
  <xdr:twoCellAnchor>
    <xdr:from>
      <xdr:col>2</xdr:col>
      <xdr:colOff>352425</xdr:colOff>
      <xdr:row>19</xdr:row>
      <xdr:rowOff>85725</xdr:rowOff>
    </xdr:from>
    <xdr:to>
      <xdr:col>2</xdr:col>
      <xdr:colOff>409575</xdr:colOff>
      <xdr:row>20</xdr:row>
      <xdr:rowOff>66675</xdr:rowOff>
    </xdr:to>
    <xdr:sp macro="" textlink="">
      <xdr:nvSpPr>
        <xdr:cNvPr id="69" name="Line 68"/>
        <xdr:cNvSpPr>
          <a:spLocks noChangeShapeType="1"/>
        </xdr:cNvSpPr>
      </xdr:nvSpPr>
      <xdr:spPr bwMode="auto">
        <a:xfrm flipH="1">
          <a:off x="1333500" y="3181350"/>
          <a:ext cx="57150" cy="142875"/>
        </a:xfrm>
        <a:prstGeom prst="line">
          <a:avLst/>
        </a:prstGeom>
        <a:noFill/>
        <a:ln w="9525">
          <a:solidFill>
            <a:srgbClr val="000000"/>
          </a:solidFill>
          <a:round/>
          <a:headEnd/>
          <a:tailEnd/>
        </a:ln>
      </xdr:spPr>
    </xdr:sp>
    <xdr:clientData/>
  </xdr:twoCellAnchor>
  <xdr:twoCellAnchor>
    <xdr:from>
      <xdr:col>1</xdr:col>
      <xdr:colOff>457200</xdr:colOff>
      <xdr:row>19</xdr:row>
      <xdr:rowOff>76200</xdr:rowOff>
    </xdr:from>
    <xdr:to>
      <xdr:col>1</xdr:col>
      <xdr:colOff>561975</xdr:colOff>
      <xdr:row>20</xdr:row>
      <xdr:rowOff>47625</xdr:rowOff>
    </xdr:to>
    <xdr:sp macro="" textlink="">
      <xdr:nvSpPr>
        <xdr:cNvPr id="70" name="Line 69"/>
        <xdr:cNvSpPr>
          <a:spLocks noChangeShapeType="1"/>
        </xdr:cNvSpPr>
      </xdr:nvSpPr>
      <xdr:spPr bwMode="auto">
        <a:xfrm flipH="1">
          <a:off x="828675" y="3171825"/>
          <a:ext cx="104775" cy="133350"/>
        </a:xfrm>
        <a:prstGeom prst="line">
          <a:avLst/>
        </a:prstGeom>
        <a:noFill/>
        <a:ln w="9525">
          <a:solidFill>
            <a:srgbClr val="000000"/>
          </a:solidFill>
          <a:round/>
          <a:headEnd/>
          <a:tailEnd/>
        </a:ln>
      </xdr:spPr>
    </xdr:sp>
    <xdr:clientData/>
  </xdr:twoCellAnchor>
  <xdr:twoCellAnchor>
    <xdr:from>
      <xdr:col>1</xdr:col>
      <xdr:colOff>247650</xdr:colOff>
      <xdr:row>19</xdr:row>
      <xdr:rowOff>85725</xdr:rowOff>
    </xdr:from>
    <xdr:to>
      <xdr:col>1</xdr:col>
      <xdr:colOff>352425</xdr:colOff>
      <xdr:row>20</xdr:row>
      <xdr:rowOff>104775</xdr:rowOff>
    </xdr:to>
    <xdr:sp macro="" textlink="">
      <xdr:nvSpPr>
        <xdr:cNvPr id="71" name="Line 70"/>
        <xdr:cNvSpPr>
          <a:spLocks noChangeShapeType="1"/>
        </xdr:cNvSpPr>
      </xdr:nvSpPr>
      <xdr:spPr bwMode="auto">
        <a:xfrm flipH="1">
          <a:off x="619125" y="3181350"/>
          <a:ext cx="104775" cy="180975"/>
        </a:xfrm>
        <a:prstGeom prst="line">
          <a:avLst/>
        </a:prstGeom>
        <a:noFill/>
        <a:ln w="9525">
          <a:solidFill>
            <a:srgbClr val="000000"/>
          </a:solidFill>
          <a:round/>
          <a:headEnd/>
          <a:tailEnd/>
        </a:ln>
      </xdr:spPr>
    </xdr:sp>
    <xdr:clientData/>
  </xdr:twoCellAnchor>
  <xdr:twoCellAnchor>
    <xdr:from>
      <xdr:col>1</xdr:col>
      <xdr:colOff>590550</xdr:colOff>
      <xdr:row>20</xdr:row>
      <xdr:rowOff>9525</xdr:rowOff>
    </xdr:from>
    <xdr:to>
      <xdr:col>2</xdr:col>
      <xdr:colOff>47625</xdr:colOff>
      <xdr:row>20</xdr:row>
      <xdr:rowOff>95250</xdr:rowOff>
    </xdr:to>
    <xdr:sp macro="" textlink="">
      <xdr:nvSpPr>
        <xdr:cNvPr id="72" name="Line 71"/>
        <xdr:cNvSpPr>
          <a:spLocks noChangeShapeType="1"/>
        </xdr:cNvSpPr>
      </xdr:nvSpPr>
      <xdr:spPr bwMode="auto">
        <a:xfrm flipH="1">
          <a:off x="962025" y="3267075"/>
          <a:ext cx="66675" cy="85725"/>
        </a:xfrm>
        <a:prstGeom prst="line">
          <a:avLst/>
        </a:prstGeom>
        <a:noFill/>
        <a:ln w="9525">
          <a:solidFill>
            <a:srgbClr val="000000"/>
          </a:solidFill>
          <a:round/>
          <a:headEnd/>
          <a:tailEnd/>
        </a:ln>
      </xdr:spPr>
    </xdr:sp>
    <xdr:clientData/>
  </xdr:twoCellAnchor>
  <xdr:twoCellAnchor>
    <xdr:from>
      <xdr:col>1</xdr:col>
      <xdr:colOff>428625</xdr:colOff>
      <xdr:row>20</xdr:row>
      <xdr:rowOff>28575</xdr:rowOff>
    </xdr:from>
    <xdr:to>
      <xdr:col>1</xdr:col>
      <xdr:colOff>476250</xdr:colOff>
      <xdr:row>20</xdr:row>
      <xdr:rowOff>76200</xdr:rowOff>
    </xdr:to>
    <xdr:sp macro="" textlink="">
      <xdr:nvSpPr>
        <xdr:cNvPr id="73" name="Line 72"/>
        <xdr:cNvSpPr>
          <a:spLocks noChangeShapeType="1"/>
        </xdr:cNvSpPr>
      </xdr:nvSpPr>
      <xdr:spPr bwMode="auto">
        <a:xfrm flipH="1">
          <a:off x="800100" y="3286125"/>
          <a:ext cx="47625" cy="47625"/>
        </a:xfrm>
        <a:prstGeom prst="line">
          <a:avLst/>
        </a:prstGeom>
        <a:noFill/>
        <a:ln w="9525">
          <a:solidFill>
            <a:srgbClr val="000000"/>
          </a:solidFill>
          <a:round/>
          <a:headEnd/>
          <a:tailEnd/>
        </a:ln>
      </xdr:spPr>
    </xdr:sp>
    <xdr:clientData/>
  </xdr:twoCellAnchor>
  <xdr:twoCellAnchor>
    <xdr:from>
      <xdr:col>2</xdr:col>
      <xdr:colOff>161925</xdr:colOff>
      <xdr:row>20</xdr:row>
      <xdr:rowOff>28575</xdr:rowOff>
    </xdr:from>
    <xdr:to>
      <xdr:col>2</xdr:col>
      <xdr:colOff>190500</xdr:colOff>
      <xdr:row>20</xdr:row>
      <xdr:rowOff>85725</xdr:rowOff>
    </xdr:to>
    <xdr:sp macro="" textlink="">
      <xdr:nvSpPr>
        <xdr:cNvPr id="74" name="Line 73"/>
        <xdr:cNvSpPr>
          <a:spLocks noChangeShapeType="1"/>
        </xdr:cNvSpPr>
      </xdr:nvSpPr>
      <xdr:spPr bwMode="auto">
        <a:xfrm flipH="1">
          <a:off x="1143000" y="3286125"/>
          <a:ext cx="28575" cy="57150"/>
        </a:xfrm>
        <a:prstGeom prst="line">
          <a:avLst/>
        </a:prstGeom>
        <a:noFill/>
        <a:ln w="9525">
          <a:solidFill>
            <a:srgbClr val="000000"/>
          </a:solidFill>
          <a:round/>
          <a:headEnd/>
          <a:tailEnd/>
        </a:ln>
      </xdr:spPr>
    </xdr:sp>
    <xdr:clientData/>
  </xdr:twoCellAnchor>
  <xdr:twoCellAnchor>
    <xdr:from>
      <xdr:col>6</xdr:col>
      <xdr:colOff>457200</xdr:colOff>
      <xdr:row>19</xdr:row>
      <xdr:rowOff>152400</xdr:rowOff>
    </xdr:from>
    <xdr:to>
      <xdr:col>6</xdr:col>
      <xdr:colOff>495300</xdr:colOff>
      <xdr:row>20</xdr:row>
      <xdr:rowOff>66675</xdr:rowOff>
    </xdr:to>
    <xdr:sp macro="" textlink="">
      <xdr:nvSpPr>
        <xdr:cNvPr id="75" name="Line 74"/>
        <xdr:cNvSpPr>
          <a:spLocks noChangeShapeType="1"/>
        </xdr:cNvSpPr>
      </xdr:nvSpPr>
      <xdr:spPr bwMode="auto">
        <a:xfrm flipH="1">
          <a:off x="4000500" y="3248025"/>
          <a:ext cx="38100" cy="76200"/>
        </a:xfrm>
        <a:prstGeom prst="line">
          <a:avLst/>
        </a:prstGeom>
        <a:noFill/>
        <a:ln w="9525">
          <a:solidFill>
            <a:srgbClr val="000000"/>
          </a:solidFill>
          <a:round/>
          <a:headEnd/>
          <a:tailEnd/>
        </a:ln>
      </xdr:spPr>
    </xdr:sp>
    <xdr:clientData/>
  </xdr:twoCellAnchor>
  <xdr:twoCellAnchor>
    <xdr:from>
      <xdr:col>6</xdr:col>
      <xdr:colOff>552450</xdr:colOff>
      <xdr:row>20</xdr:row>
      <xdr:rowOff>19050</xdr:rowOff>
    </xdr:from>
    <xdr:to>
      <xdr:col>6</xdr:col>
      <xdr:colOff>581025</xdr:colOff>
      <xdr:row>20</xdr:row>
      <xdr:rowOff>66675</xdr:rowOff>
    </xdr:to>
    <xdr:sp macro="" textlink="">
      <xdr:nvSpPr>
        <xdr:cNvPr id="76" name="Line 75"/>
        <xdr:cNvSpPr>
          <a:spLocks noChangeShapeType="1"/>
        </xdr:cNvSpPr>
      </xdr:nvSpPr>
      <xdr:spPr bwMode="auto">
        <a:xfrm flipH="1">
          <a:off x="4095750" y="3276600"/>
          <a:ext cx="28575" cy="47625"/>
        </a:xfrm>
        <a:prstGeom prst="line">
          <a:avLst/>
        </a:prstGeom>
        <a:noFill/>
        <a:ln w="9525">
          <a:solidFill>
            <a:srgbClr val="000000"/>
          </a:solidFill>
          <a:round/>
          <a:headEnd/>
          <a:tailEnd/>
        </a:ln>
      </xdr:spPr>
    </xdr:sp>
    <xdr:clientData/>
  </xdr:twoCellAnchor>
  <xdr:twoCellAnchor>
    <xdr:from>
      <xdr:col>1</xdr:col>
      <xdr:colOff>342900</xdr:colOff>
      <xdr:row>19</xdr:row>
      <xdr:rowOff>85725</xdr:rowOff>
    </xdr:from>
    <xdr:to>
      <xdr:col>1</xdr:col>
      <xdr:colOff>523875</xdr:colOff>
      <xdr:row>20</xdr:row>
      <xdr:rowOff>142875</xdr:rowOff>
    </xdr:to>
    <xdr:sp macro="" textlink="">
      <xdr:nvSpPr>
        <xdr:cNvPr id="77" name="Line 76"/>
        <xdr:cNvSpPr>
          <a:spLocks noChangeShapeType="1"/>
        </xdr:cNvSpPr>
      </xdr:nvSpPr>
      <xdr:spPr bwMode="auto">
        <a:xfrm>
          <a:off x="714375" y="3181350"/>
          <a:ext cx="180975" cy="219075"/>
        </a:xfrm>
        <a:prstGeom prst="line">
          <a:avLst/>
        </a:prstGeom>
        <a:noFill/>
        <a:ln w="9525">
          <a:solidFill>
            <a:srgbClr val="000000"/>
          </a:solidFill>
          <a:round/>
          <a:headEnd/>
          <a:tailEnd/>
        </a:ln>
      </xdr:spPr>
    </xdr:sp>
    <xdr:clientData/>
  </xdr:twoCellAnchor>
  <xdr:twoCellAnchor>
    <xdr:from>
      <xdr:col>1</xdr:col>
      <xdr:colOff>561975</xdr:colOff>
      <xdr:row>19</xdr:row>
      <xdr:rowOff>95250</xdr:rowOff>
    </xdr:from>
    <xdr:to>
      <xdr:col>2</xdr:col>
      <xdr:colOff>152400</xdr:colOff>
      <xdr:row>20</xdr:row>
      <xdr:rowOff>114300</xdr:rowOff>
    </xdr:to>
    <xdr:sp macro="" textlink="">
      <xdr:nvSpPr>
        <xdr:cNvPr id="78" name="Line 77"/>
        <xdr:cNvSpPr>
          <a:spLocks noChangeShapeType="1"/>
        </xdr:cNvSpPr>
      </xdr:nvSpPr>
      <xdr:spPr bwMode="auto">
        <a:xfrm>
          <a:off x="933450" y="3190875"/>
          <a:ext cx="200025" cy="180975"/>
        </a:xfrm>
        <a:prstGeom prst="line">
          <a:avLst/>
        </a:prstGeom>
        <a:noFill/>
        <a:ln w="9525">
          <a:solidFill>
            <a:srgbClr val="000000"/>
          </a:solidFill>
          <a:round/>
          <a:headEnd/>
          <a:tailEnd/>
        </a:ln>
      </xdr:spPr>
    </xdr:sp>
    <xdr:clientData/>
  </xdr:twoCellAnchor>
  <xdr:twoCellAnchor>
    <xdr:from>
      <xdr:col>2</xdr:col>
      <xdr:colOff>247650</xdr:colOff>
      <xdr:row>19</xdr:row>
      <xdr:rowOff>85725</xdr:rowOff>
    </xdr:from>
    <xdr:to>
      <xdr:col>2</xdr:col>
      <xdr:colOff>438150</xdr:colOff>
      <xdr:row>20</xdr:row>
      <xdr:rowOff>95250</xdr:rowOff>
    </xdr:to>
    <xdr:sp macro="" textlink="">
      <xdr:nvSpPr>
        <xdr:cNvPr id="79" name="Line 78"/>
        <xdr:cNvSpPr>
          <a:spLocks noChangeShapeType="1"/>
        </xdr:cNvSpPr>
      </xdr:nvSpPr>
      <xdr:spPr bwMode="auto">
        <a:xfrm>
          <a:off x="1228725" y="3181350"/>
          <a:ext cx="190500" cy="171450"/>
        </a:xfrm>
        <a:prstGeom prst="line">
          <a:avLst/>
        </a:prstGeom>
        <a:noFill/>
        <a:ln w="9525">
          <a:solidFill>
            <a:srgbClr val="000000"/>
          </a:solidFill>
          <a:round/>
          <a:headEnd/>
          <a:tailEnd/>
        </a:ln>
      </xdr:spPr>
    </xdr:sp>
    <xdr:clientData/>
  </xdr:twoCellAnchor>
  <xdr:twoCellAnchor>
    <xdr:from>
      <xdr:col>2</xdr:col>
      <xdr:colOff>104775</xdr:colOff>
      <xdr:row>19</xdr:row>
      <xdr:rowOff>95250</xdr:rowOff>
    </xdr:from>
    <xdr:to>
      <xdr:col>2</xdr:col>
      <xdr:colOff>266700</xdr:colOff>
      <xdr:row>20</xdr:row>
      <xdr:rowOff>85725</xdr:rowOff>
    </xdr:to>
    <xdr:sp macro="" textlink="">
      <xdr:nvSpPr>
        <xdr:cNvPr id="80" name="Line 79"/>
        <xdr:cNvSpPr>
          <a:spLocks noChangeShapeType="1"/>
        </xdr:cNvSpPr>
      </xdr:nvSpPr>
      <xdr:spPr bwMode="auto">
        <a:xfrm>
          <a:off x="1085850" y="3190875"/>
          <a:ext cx="161925" cy="152400"/>
        </a:xfrm>
        <a:prstGeom prst="line">
          <a:avLst/>
        </a:prstGeom>
        <a:noFill/>
        <a:ln w="9525">
          <a:solidFill>
            <a:srgbClr val="000000"/>
          </a:solidFill>
          <a:round/>
          <a:headEnd/>
          <a:tailEnd/>
        </a:ln>
      </xdr:spPr>
    </xdr:sp>
    <xdr:clientData/>
  </xdr:twoCellAnchor>
  <xdr:twoCellAnchor>
    <xdr:from>
      <xdr:col>6</xdr:col>
      <xdr:colOff>533400</xdr:colOff>
      <xdr:row>19</xdr:row>
      <xdr:rowOff>57150</xdr:rowOff>
    </xdr:from>
    <xdr:to>
      <xdr:col>7</xdr:col>
      <xdr:colOff>57150</xdr:colOff>
      <xdr:row>20</xdr:row>
      <xdr:rowOff>104775</xdr:rowOff>
    </xdr:to>
    <xdr:sp macro="" textlink="">
      <xdr:nvSpPr>
        <xdr:cNvPr id="81" name="Line 80"/>
        <xdr:cNvSpPr>
          <a:spLocks noChangeShapeType="1"/>
        </xdr:cNvSpPr>
      </xdr:nvSpPr>
      <xdr:spPr bwMode="auto">
        <a:xfrm>
          <a:off x="4076700" y="3152775"/>
          <a:ext cx="133350" cy="209550"/>
        </a:xfrm>
        <a:prstGeom prst="line">
          <a:avLst/>
        </a:prstGeom>
        <a:noFill/>
        <a:ln w="9525">
          <a:solidFill>
            <a:srgbClr val="000000"/>
          </a:solidFill>
          <a:round/>
          <a:headEnd/>
          <a:tailEnd/>
        </a:ln>
      </xdr:spPr>
    </xdr:sp>
    <xdr:clientData/>
  </xdr:twoCellAnchor>
  <xdr:twoCellAnchor>
    <xdr:from>
      <xdr:col>7</xdr:col>
      <xdr:colOff>28575</xdr:colOff>
      <xdr:row>19</xdr:row>
      <xdr:rowOff>57150</xdr:rowOff>
    </xdr:from>
    <xdr:to>
      <xdr:col>7</xdr:col>
      <xdr:colOff>142875</xdr:colOff>
      <xdr:row>20</xdr:row>
      <xdr:rowOff>66675</xdr:rowOff>
    </xdr:to>
    <xdr:sp macro="" textlink="">
      <xdr:nvSpPr>
        <xdr:cNvPr id="82" name="Line 81"/>
        <xdr:cNvSpPr>
          <a:spLocks noChangeShapeType="1"/>
        </xdr:cNvSpPr>
      </xdr:nvSpPr>
      <xdr:spPr bwMode="auto">
        <a:xfrm>
          <a:off x="4181475" y="3152775"/>
          <a:ext cx="114300" cy="171450"/>
        </a:xfrm>
        <a:prstGeom prst="line">
          <a:avLst/>
        </a:prstGeom>
        <a:noFill/>
        <a:ln w="9525">
          <a:solidFill>
            <a:srgbClr val="000000"/>
          </a:solidFill>
          <a:round/>
          <a:headEnd/>
          <a:tailEnd/>
        </a:ln>
      </xdr:spPr>
    </xdr:sp>
    <xdr:clientData/>
  </xdr:twoCellAnchor>
  <xdr:twoCellAnchor>
    <xdr:from>
      <xdr:col>7</xdr:col>
      <xdr:colOff>161925</xdr:colOff>
      <xdr:row>19</xdr:row>
      <xdr:rowOff>66675</xdr:rowOff>
    </xdr:from>
    <xdr:to>
      <xdr:col>7</xdr:col>
      <xdr:colOff>276225</xdr:colOff>
      <xdr:row>20</xdr:row>
      <xdr:rowOff>85725</xdr:rowOff>
    </xdr:to>
    <xdr:sp macro="" textlink="">
      <xdr:nvSpPr>
        <xdr:cNvPr id="83" name="Line 82"/>
        <xdr:cNvSpPr>
          <a:spLocks noChangeShapeType="1"/>
        </xdr:cNvSpPr>
      </xdr:nvSpPr>
      <xdr:spPr bwMode="auto">
        <a:xfrm>
          <a:off x="4314825" y="3162300"/>
          <a:ext cx="114300" cy="180975"/>
        </a:xfrm>
        <a:prstGeom prst="line">
          <a:avLst/>
        </a:prstGeom>
        <a:noFill/>
        <a:ln w="9525">
          <a:solidFill>
            <a:srgbClr val="000000"/>
          </a:solidFill>
          <a:round/>
          <a:headEnd/>
          <a:tailEnd/>
        </a:ln>
      </xdr:spPr>
    </xdr:sp>
    <xdr:clientData/>
  </xdr:twoCellAnchor>
  <xdr:twoCellAnchor>
    <xdr:from>
      <xdr:col>17</xdr:col>
      <xdr:colOff>371475</xdr:colOff>
      <xdr:row>20</xdr:row>
      <xdr:rowOff>19050</xdr:rowOff>
    </xdr:from>
    <xdr:to>
      <xdr:col>17</xdr:col>
      <xdr:colOff>371475</xdr:colOff>
      <xdr:row>20</xdr:row>
      <xdr:rowOff>38100</xdr:rowOff>
    </xdr:to>
    <xdr:sp macro="" textlink="">
      <xdr:nvSpPr>
        <xdr:cNvPr id="84" name="Line 83"/>
        <xdr:cNvSpPr>
          <a:spLocks noChangeShapeType="1"/>
        </xdr:cNvSpPr>
      </xdr:nvSpPr>
      <xdr:spPr bwMode="auto">
        <a:xfrm>
          <a:off x="10734675" y="3276600"/>
          <a:ext cx="0" cy="1905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5" name="Line 84"/>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6" name="Line 85"/>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7" name="Line 86"/>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600075</xdr:colOff>
      <xdr:row>41</xdr:row>
      <xdr:rowOff>0</xdr:rowOff>
    </xdr:from>
    <xdr:to>
      <xdr:col>7</xdr:col>
      <xdr:colOff>0</xdr:colOff>
      <xdr:row>41</xdr:row>
      <xdr:rowOff>0</xdr:rowOff>
    </xdr:to>
    <xdr:sp macro="" textlink="">
      <xdr:nvSpPr>
        <xdr:cNvPr id="88" name="Line 87"/>
        <xdr:cNvSpPr>
          <a:spLocks noChangeShapeType="1"/>
        </xdr:cNvSpPr>
      </xdr:nvSpPr>
      <xdr:spPr bwMode="auto">
        <a:xfrm flipH="1" flipV="1">
          <a:off x="4143375" y="6677025"/>
          <a:ext cx="9525" cy="0"/>
        </a:xfrm>
        <a:prstGeom prst="line">
          <a:avLst/>
        </a:prstGeom>
        <a:noFill/>
        <a:ln w="9525">
          <a:solidFill>
            <a:srgbClr val="000000"/>
          </a:solidFill>
          <a:round/>
          <a:headEnd/>
          <a:tailEnd/>
        </a:ln>
      </xdr:spPr>
    </xdr:sp>
    <xdr:clientData/>
  </xdr:twoCellAnchor>
  <xdr:twoCellAnchor>
    <xdr:from>
      <xdr:col>6</xdr:col>
      <xdr:colOff>171450</xdr:colOff>
      <xdr:row>26</xdr:row>
      <xdr:rowOff>104775</xdr:rowOff>
    </xdr:from>
    <xdr:to>
      <xdr:col>6</xdr:col>
      <xdr:colOff>457200</xdr:colOff>
      <xdr:row>26</xdr:row>
      <xdr:rowOff>104775</xdr:rowOff>
    </xdr:to>
    <xdr:sp macro="" textlink="">
      <xdr:nvSpPr>
        <xdr:cNvPr id="89" name="Line 88"/>
        <xdr:cNvSpPr>
          <a:spLocks noChangeShapeType="1"/>
        </xdr:cNvSpPr>
      </xdr:nvSpPr>
      <xdr:spPr bwMode="auto">
        <a:xfrm>
          <a:off x="3714750" y="4333875"/>
          <a:ext cx="285750" cy="0"/>
        </a:xfrm>
        <a:prstGeom prst="line">
          <a:avLst/>
        </a:prstGeom>
        <a:noFill/>
        <a:ln w="9525">
          <a:solidFill>
            <a:srgbClr val="000000"/>
          </a:solidFill>
          <a:round/>
          <a:headEnd/>
          <a:tailEnd/>
        </a:ln>
      </xdr:spPr>
    </xdr:sp>
    <xdr:clientData/>
  </xdr:twoCellAnchor>
  <xdr:twoCellAnchor>
    <xdr:from>
      <xdr:col>6</xdr:col>
      <xdr:colOff>447675</xdr:colOff>
      <xdr:row>26</xdr:row>
      <xdr:rowOff>57150</xdr:rowOff>
    </xdr:from>
    <xdr:to>
      <xdr:col>6</xdr:col>
      <xdr:colOff>447675</xdr:colOff>
      <xdr:row>26</xdr:row>
      <xdr:rowOff>142875</xdr:rowOff>
    </xdr:to>
    <xdr:sp macro="" textlink="">
      <xdr:nvSpPr>
        <xdr:cNvPr id="90" name="Line 89"/>
        <xdr:cNvSpPr>
          <a:spLocks noChangeShapeType="1"/>
        </xdr:cNvSpPr>
      </xdr:nvSpPr>
      <xdr:spPr bwMode="auto">
        <a:xfrm>
          <a:off x="3990975" y="4286250"/>
          <a:ext cx="0" cy="85725"/>
        </a:xfrm>
        <a:prstGeom prst="line">
          <a:avLst/>
        </a:prstGeom>
        <a:noFill/>
        <a:ln w="9525">
          <a:solidFill>
            <a:srgbClr val="000000"/>
          </a:solidFill>
          <a:round/>
          <a:headEnd/>
          <a:tailEnd/>
        </a:ln>
      </xdr:spPr>
    </xdr:sp>
    <xdr:clientData/>
  </xdr:twoCellAnchor>
  <xdr:twoCellAnchor>
    <xdr:from>
      <xdr:col>6</xdr:col>
      <xdr:colOff>323850</xdr:colOff>
      <xdr:row>25</xdr:row>
      <xdr:rowOff>85725</xdr:rowOff>
    </xdr:from>
    <xdr:to>
      <xdr:col>6</xdr:col>
      <xdr:colOff>409575</xdr:colOff>
      <xdr:row>26</xdr:row>
      <xdr:rowOff>85725</xdr:rowOff>
    </xdr:to>
    <xdr:sp macro="" textlink="">
      <xdr:nvSpPr>
        <xdr:cNvPr id="91" name="Line 90"/>
        <xdr:cNvSpPr>
          <a:spLocks noChangeShapeType="1"/>
        </xdr:cNvSpPr>
      </xdr:nvSpPr>
      <xdr:spPr bwMode="auto">
        <a:xfrm flipV="1">
          <a:off x="3867150" y="4152900"/>
          <a:ext cx="85725" cy="161925"/>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92" name="Line 91"/>
        <xdr:cNvSpPr>
          <a:spLocks noChangeShapeType="1"/>
        </xdr:cNvSpPr>
      </xdr:nvSpPr>
      <xdr:spPr bwMode="auto">
        <a:xfrm>
          <a:off x="3981450" y="459105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93" name="Line 92"/>
        <xdr:cNvSpPr>
          <a:spLocks noChangeShapeType="1"/>
        </xdr:cNvSpPr>
      </xdr:nvSpPr>
      <xdr:spPr bwMode="auto">
        <a:xfrm>
          <a:off x="3990975" y="4705350"/>
          <a:ext cx="180975" cy="95250"/>
        </a:xfrm>
        <a:prstGeom prst="line">
          <a:avLst/>
        </a:prstGeom>
        <a:noFill/>
        <a:ln w="9525">
          <a:solidFill>
            <a:srgbClr val="000000"/>
          </a:solidFill>
          <a:round/>
          <a:headEnd/>
          <a:tailEnd/>
        </a:ln>
      </xdr:spPr>
    </xdr:sp>
    <xdr:clientData/>
  </xdr:twoCellAnchor>
  <xdr:twoCellAnchor>
    <xdr:from>
      <xdr:col>2</xdr:col>
      <xdr:colOff>342900</xdr:colOff>
      <xdr:row>29</xdr:row>
      <xdr:rowOff>133350</xdr:rowOff>
    </xdr:from>
    <xdr:to>
      <xdr:col>6</xdr:col>
      <xdr:colOff>485775</xdr:colOff>
      <xdr:row>29</xdr:row>
      <xdr:rowOff>133350</xdr:rowOff>
    </xdr:to>
    <xdr:sp macro="" textlink="">
      <xdr:nvSpPr>
        <xdr:cNvPr id="94" name="Line 93"/>
        <xdr:cNvSpPr>
          <a:spLocks noChangeShapeType="1"/>
        </xdr:cNvSpPr>
      </xdr:nvSpPr>
      <xdr:spPr bwMode="auto">
        <a:xfrm>
          <a:off x="1323975" y="4848225"/>
          <a:ext cx="2705100" cy="0"/>
        </a:xfrm>
        <a:prstGeom prst="line">
          <a:avLst/>
        </a:prstGeom>
        <a:noFill/>
        <a:ln w="9525">
          <a:solidFill>
            <a:srgbClr val="000000"/>
          </a:solidFill>
          <a:round/>
          <a:headEnd/>
          <a:tailEnd/>
        </a:ln>
      </xdr:spPr>
    </xdr:sp>
    <xdr:clientData/>
  </xdr:twoCellAnchor>
  <xdr:twoCellAnchor>
    <xdr:from>
      <xdr:col>2</xdr:col>
      <xdr:colOff>342900</xdr:colOff>
      <xdr:row>29</xdr:row>
      <xdr:rowOff>95250</xdr:rowOff>
    </xdr:from>
    <xdr:to>
      <xdr:col>2</xdr:col>
      <xdr:colOff>342900</xdr:colOff>
      <xdr:row>30</xdr:row>
      <xdr:rowOff>57150</xdr:rowOff>
    </xdr:to>
    <xdr:sp macro="" textlink="">
      <xdr:nvSpPr>
        <xdr:cNvPr id="95" name="Line 94"/>
        <xdr:cNvSpPr>
          <a:spLocks noChangeShapeType="1"/>
        </xdr:cNvSpPr>
      </xdr:nvSpPr>
      <xdr:spPr bwMode="auto">
        <a:xfrm>
          <a:off x="1323975" y="4810125"/>
          <a:ext cx="0" cy="123825"/>
        </a:xfrm>
        <a:prstGeom prst="line">
          <a:avLst/>
        </a:prstGeom>
        <a:noFill/>
        <a:ln w="9525">
          <a:solidFill>
            <a:srgbClr val="000000"/>
          </a:solidFill>
          <a:round/>
          <a:headEnd/>
          <a:tailEnd/>
        </a:ln>
      </xdr:spPr>
    </xdr:sp>
    <xdr:clientData/>
  </xdr:twoCellAnchor>
  <xdr:twoCellAnchor>
    <xdr:from>
      <xdr:col>6</xdr:col>
      <xdr:colOff>466725</xdr:colOff>
      <xdr:row>29</xdr:row>
      <xdr:rowOff>85725</xdr:rowOff>
    </xdr:from>
    <xdr:to>
      <xdr:col>6</xdr:col>
      <xdr:colOff>466725</xdr:colOff>
      <xdr:row>30</xdr:row>
      <xdr:rowOff>95250</xdr:rowOff>
    </xdr:to>
    <xdr:sp macro="" textlink="">
      <xdr:nvSpPr>
        <xdr:cNvPr id="96" name="Line 95"/>
        <xdr:cNvSpPr>
          <a:spLocks noChangeShapeType="1"/>
        </xdr:cNvSpPr>
      </xdr:nvSpPr>
      <xdr:spPr bwMode="auto">
        <a:xfrm>
          <a:off x="4010025" y="4800600"/>
          <a:ext cx="0" cy="171450"/>
        </a:xfrm>
        <a:prstGeom prst="line">
          <a:avLst/>
        </a:prstGeom>
        <a:noFill/>
        <a:ln w="9525">
          <a:solidFill>
            <a:srgbClr val="000000"/>
          </a:solidFill>
          <a:round/>
          <a:headEnd/>
          <a:tailEnd/>
        </a:ln>
      </xdr:spPr>
    </xdr:sp>
    <xdr:clientData/>
  </xdr:twoCellAnchor>
  <xdr:twoCellAnchor>
    <xdr:from>
      <xdr:col>42</xdr:col>
      <xdr:colOff>190500</xdr:colOff>
      <xdr:row>71</xdr:row>
      <xdr:rowOff>133350</xdr:rowOff>
    </xdr:from>
    <xdr:to>
      <xdr:col>42</xdr:col>
      <xdr:colOff>266700</xdr:colOff>
      <xdr:row>72</xdr:row>
      <xdr:rowOff>9525</xdr:rowOff>
    </xdr:to>
    <xdr:sp macro="" textlink="">
      <xdr:nvSpPr>
        <xdr:cNvPr id="97" name="Line 96"/>
        <xdr:cNvSpPr>
          <a:spLocks noChangeShapeType="1"/>
        </xdr:cNvSpPr>
      </xdr:nvSpPr>
      <xdr:spPr bwMode="auto">
        <a:xfrm flipH="1">
          <a:off x="25793700" y="16040100"/>
          <a:ext cx="76200" cy="190500"/>
        </a:xfrm>
        <a:prstGeom prst="line">
          <a:avLst/>
        </a:prstGeom>
        <a:noFill/>
        <a:ln w="9525">
          <a:solidFill>
            <a:srgbClr val="000000"/>
          </a:solidFill>
          <a:round/>
          <a:headEnd/>
          <a:tailEnd/>
        </a:ln>
      </xdr:spPr>
    </xdr:sp>
    <xdr:clientData/>
  </xdr:twoCellAnchor>
  <xdr:twoCellAnchor>
    <xdr:from>
      <xdr:col>13</xdr:col>
      <xdr:colOff>247650</xdr:colOff>
      <xdr:row>70</xdr:row>
      <xdr:rowOff>0</xdr:rowOff>
    </xdr:from>
    <xdr:to>
      <xdr:col>13</xdr:col>
      <xdr:colOff>409575</xdr:colOff>
      <xdr:row>70</xdr:row>
      <xdr:rowOff>0</xdr:rowOff>
    </xdr:to>
    <xdr:sp macro="" textlink="">
      <xdr:nvSpPr>
        <xdr:cNvPr id="98" name="Line 97"/>
        <xdr:cNvSpPr>
          <a:spLocks noChangeShapeType="1"/>
        </xdr:cNvSpPr>
      </xdr:nvSpPr>
      <xdr:spPr bwMode="auto">
        <a:xfrm>
          <a:off x="8172450" y="15744825"/>
          <a:ext cx="161925" cy="0"/>
        </a:xfrm>
        <a:prstGeom prst="line">
          <a:avLst/>
        </a:prstGeom>
        <a:noFill/>
        <a:ln w="9525">
          <a:solidFill>
            <a:srgbClr val="000000"/>
          </a:solidFill>
          <a:round/>
          <a:headEnd/>
          <a:tailEnd/>
        </a:ln>
      </xdr:spPr>
    </xdr:sp>
    <xdr:clientData/>
  </xdr:twoCellAnchor>
  <xdr:twoCellAnchor>
    <xdr:from>
      <xdr:col>37</xdr:col>
      <xdr:colOff>238125</xdr:colOff>
      <xdr:row>186</xdr:row>
      <xdr:rowOff>133350</xdr:rowOff>
    </xdr:from>
    <xdr:to>
      <xdr:col>37</xdr:col>
      <xdr:colOff>361950</xdr:colOff>
      <xdr:row>186</xdr:row>
      <xdr:rowOff>133350</xdr:rowOff>
    </xdr:to>
    <xdr:sp macro="" textlink="">
      <xdr:nvSpPr>
        <xdr:cNvPr id="99" name="Line 98"/>
        <xdr:cNvSpPr>
          <a:spLocks noChangeShapeType="1"/>
        </xdr:cNvSpPr>
      </xdr:nvSpPr>
      <xdr:spPr bwMode="auto">
        <a:xfrm>
          <a:off x="22793325" y="34813875"/>
          <a:ext cx="123825" cy="0"/>
        </a:xfrm>
        <a:prstGeom prst="line">
          <a:avLst/>
        </a:prstGeom>
        <a:noFill/>
        <a:ln w="9525">
          <a:solidFill>
            <a:srgbClr val="000000"/>
          </a:solidFill>
          <a:round/>
          <a:headEnd/>
          <a:tailEnd/>
        </a:ln>
      </xdr:spPr>
    </xdr:sp>
    <xdr:clientData/>
  </xdr:twoCellAnchor>
  <xdr:twoCellAnchor>
    <xdr:from>
      <xdr:col>2</xdr:col>
      <xdr:colOff>476250</xdr:colOff>
      <xdr:row>16</xdr:row>
      <xdr:rowOff>123825</xdr:rowOff>
    </xdr:from>
    <xdr:to>
      <xdr:col>6</xdr:col>
      <xdr:colOff>333375</xdr:colOff>
      <xdr:row>17</xdr:row>
      <xdr:rowOff>28575</xdr:rowOff>
    </xdr:to>
    <xdr:sp macro="" textlink="">
      <xdr:nvSpPr>
        <xdr:cNvPr id="100" name="Rectangle 99"/>
        <xdr:cNvSpPr>
          <a:spLocks noChangeArrowheads="1"/>
        </xdr:cNvSpPr>
      </xdr:nvSpPr>
      <xdr:spPr bwMode="auto">
        <a:xfrm>
          <a:off x="1457325" y="2733675"/>
          <a:ext cx="2419350" cy="66675"/>
        </a:xfrm>
        <a:prstGeom prst="rect">
          <a:avLst/>
        </a:prstGeom>
        <a:noFill/>
        <a:ln w="9525">
          <a:solidFill>
            <a:srgbClr val="000000"/>
          </a:solidFill>
          <a:miter lim="800000"/>
          <a:headEnd/>
          <a:tailEnd/>
        </a:ln>
      </xdr:spPr>
    </xdr:sp>
    <xdr:clientData/>
  </xdr:twoCellAnchor>
  <xdr:twoCellAnchor>
    <xdr:from>
      <xdr:col>2</xdr:col>
      <xdr:colOff>466725</xdr:colOff>
      <xdr:row>16</xdr:row>
      <xdr:rowOff>0</xdr:rowOff>
    </xdr:from>
    <xdr:to>
      <xdr:col>6</xdr:col>
      <xdr:colOff>371475</xdr:colOff>
      <xdr:row>16</xdr:row>
      <xdr:rowOff>0</xdr:rowOff>
    </xdr:to>
    <xdr:sp macro="" textlink="">
      <xdr:nvSpPr>
        <xdr:cNvPr id="101" name="Line 100"/>
        <xdr:cNvSpPr>
          <a:spLocks noChangeShapeType="1"/>
        </xdr:cNvSpPr>
      </xdr:nvSpPr>
      <xdr:spPr bwMode="auto">
        <a:xfrm>
          <a:off x="1447800" y="2609850"/>
          <a:ext cx="2466975" cy="0"/>
        </a:xfrm>
        <a:prstGeom prst="line">
          <a:avLst/>
        </a:prstGeom>
        <a:noFill/>
        <a:ln w="9525">
          <a:solidFill>
            <a:srgbClr val="000000"/>
          </a:solidFill>
          <a:round/>
          <a:headEnd/>
          <a:tailEnd/>
        </a:ln>
      </xdr:spPr>
    </xdr:sp>
    <xdr:clientData/>
  </xdr:twoCellAnchor>
  <xdr:twoCellAnchor>
    <xdr:from>
      <xdr:col>6</xdr:col>
      <xdr:colOff>361950</xdr:colOff>
      <xdr:row>15</xdr:row>
      <xdr:rowOff>104775</xdr:rowOff>
    </xdr:from>
    <xdr:to>
      <xdr:col>6</xdr:col>
      <xdr:colOff>361950</xdr:colOff>
      <xdr:row>16</xdr:row>
      <xdr:rowOff>66675</xdr:rowOff>
    </xdr:to>
    <xdr:sp macro="" textlink="">
      <xdr:nvSpPr>
        <xdr:cNvPr id="102" name="Line 101"/>
        <xdr:cNvSpPr>
          <a:spLocks noChangeShapeType="1"/>
        </xdr:cNvSpPr>
      </xdr:nvSpPr>
      <xdr:spPr bwMode="auto">
        <a:xfrm>
          <a:off x="3905250" y="2552700"/>
          <a:ext cx="0" cy="123825"/>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103" name="Line 102"/>
        <xdr:cNvSpPr>
          <a:spLocks noChangeShapeType="1"/>
        </xdr:cNvSpPr>
      </xdr:nvSpPr>
      <xdr:spPr bwMode="auto">
        <a:xfrm>
          <a:off x="3981450" y="4591050"/>
          <a:ext cx="190500"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104" name="Line 103"/>
        <xdr:cNvSpPr>
          <a:spLocks noChangeShapeType="1"/>
        </xdr:cNvSpPr>
      </xdr:nvSpPr>
      <xdr:spPr bwMode="auto">
        <a:xfrm>
          <a:off x="3990975" y="4705350"/>
          <a:ext cx="180975" cy="95250"/>
        </a:xfrm>
        <a:prstGeom prst="line">
          <a:avLst/>
        </a:prstGeom>
        <a:noFill/>
        <a:ln w="9525">
          <a:solidFill>
            <a:srgbClr val="000000"/>
          </a:solidFill>
          <a:round/>
          <a:headEnd/>
          <a:tailEnd/>
        </a:ln>
      </xdr:spPr>
    </xdr:sp>
    <xdr:clientData/>
  </xdr:twoCellAnchor>
  <xdr:twoCellAnchor>
    <xdr:from>
      <xdr:col>40</xdr:col>
      <xdr:colOff>190500</xdr:colOff>
      <xdr:row>71</xdr:row>
      <xdr:rowOff>123825</xdr:rowOff>
    </xdr:from>
    <xdr:to>
      <xdr:col>40</xdr:col>
      <xdr:colOff>314325</xdr:colOff>
      <xdr:row>71</xdr:row>
      <xdr:rowOff>123825</xdr:rowOff>
    </xdr:to>
    <xdr:sp macro="" textlink="">
      <xdr:nvSpPr>
        <xdr:cNvPr id="105" name="Line 104"/>
        <xdr:cNvSpPr>
          <a:spLocks noChangeShapeType="1"/>
        </xdr:cNvSpPr>
      </xdr:nvSpPr>
      <xdr:spPr bwMode="auto">
        <a:xfrm>
          <a:off x="24574500" y="16030575"/>
          <a:ext cx="123825" cy="0"/>
        </a:xfrm>
        <a:prstGeom prst="line">
          <a:avLst/>
        </a:prstGeom>
        <a:noFill/>
        <a:ln w="9525">
          <a:solidFill>
            <a:srgbClr val="000000"/>
          </a:solidFill>
          <a:round/>
          <a:headEnd/>
          <a:tailEnd/>
        </a:ln>
      </xdr:spPr>
    </xdr:sp>
    <xdr:clientData/>
  </xdr:twoCellAnchor>
  <xdr:twoCellAnchor>
    <xdr:from>
      <xdr:col>2</xdr:col>
      <xdr:colOff>323850</xdr:colOff>
      <xdr:row>16</xdr:row>
      <xdr:rowOff>114300</xdr:rowOff>
    </xdr:from>
    <xdr:to>
      <xdr:col>2</xdr:col>
      <xdr:colOff>409575</xdr:colOff>
      <xdr:row>17</xdr:row>
      <xdr:rowOff>19050</xdr:rowOff>
    </xdr:to>
    <xdr:sp macro="" textlink="">
      <xdr:nvSpPr>
        <xdr:cNvPr id="106" name="Line 105"/>
        <xdr:cNvSpPr>
          <a:spLocks noChangeShapeType="1"/>
        </xdr:cNvSpPr>
      </xdr:nvSpPr>
      <xdr:spPr bwMode="auto">
        <a:xfrm flipV="1">
          <a:off x="1304925" y="2724150"/>
          <a:ext cx="85725" cy="66675"/>
        </a:xfrm>
        <a:prstGeom prst="line">
          <a:avLst/>
        </a:prstGeom>
        <a:noFill/>
        <a:ln w="9525">
          <a:solidFill>
            <a:srgbClr val="000000"/>
          </a:solidFill>
          <a:round/>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85725</xdr:colOff>
      <xdr:row>7</xdr:row>
      <xdr:rowOff>57150</xdr:rowOff>
    </xdr:from>
    <xdr:to>
      <xdr:col>4</xdr:col>
      <xdr:colOff>381000</xdr:colOff>
      <xdr:row>11</xdr:row>
      <xdr:rowOff>0</xdr:rowOff>
    </xdr:to>
    <xdr:sp macro="" textlink="">
      <xdr:nvSpPr>
        <xdr:cNvPr id="2" name="Arc 1"/>
        <xdr:cNvSpPr>
          <a:spLocks/>
        </xdr:cNvSpPr>
      </xdr:nvSpPr>
      <xdr:spPr bwMode="auto">
        <a:xfrm flipH="1">
          <a:off x="1809750" y="1219200"/>
          <a:ext cx="1038225" cy="59055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3</xdr:col>
      <xdr:colOff>9525</xdr:colOff>
      <xdr:row>12</xdr:row>
      <xdr:rowOff>19050</xdr:rowOff>
    </xdr:from>
    <xdr:to>
      <xdr:col>3</xdr:col>
      <xdr:colOff>171450</xdr:colOff>
      <xdr:row>22</xdr:row>
      <xdr:rowOff>0</xdr:rowOff>
    </xdr:to>
    <xdr:sp macro="" textlink="">
      <xdr:nvSpPr>
        <xdr:cNvPr id="3" name="Rectangle 2"/>
        <xdr:cNvSpPr>
          <a:spLocks noChangeArrowheads="1"/>
        </xdr:cNvSpPr>
      </xdr:nvSpPr>
      <xdr:spPr bwMode="auto">
        <a:xfrm>
          <a:off x="1733550" y="1990725"/>
          <a:ext cx="161925" cy="1600200"/>
        </a:xfrm>
        <a:prstGeom prst="rect">
          <a:avLst/>
        </a:prstGeom>
        <a:noFill/>
        <a:ln w="9525">
          <a:solidFill>
            <a:srgbClr val="000000"/>
          </a:solidFill>
          <a:miter lim="800000"/>
          <a:headEnd/>
          <a:tailEnd/>
        </a:ln>
      </xdr:spPr>
    </xdr:sp>
    <xdr:clientData/>
  </xdr:twoCellAnchor>
  <xdr:twoCellAnchor>
    <xdr:from>
      <xdr:col>6</xdr:col>
      <xdr:colOff>9525</xdr:colOff>
      <xdr:row>12</xdr:row>
      <xdr:rowOff>19050</xdr:rowOff>
    </xdr:from>
    <xdr:to>
      <xdr:col>6</xdr:col>
      <xdr:colOff>171450</xdr:colOff>
      <xdr:row>22</xdr:row>
      <xdr:rowOff>0</xdr:rowOff>
    </xdr:to>
    <xdr:sp macro="" textlink="">
      <xdr:nvSpPr>
        <xdr:cNvPr id="4" name="Rectangle 3"/>
        <xdr:cNvSpPr>
          <a:spLocks noChangeArrowheads="1"/>
        </xdr:cNvSpPr>
      </xdr:nvSpPr>
      <xdr:spPr bwMode="auto">
        <a:xfrm>
          <a:off x="3543300" y="1990725"/>
          <a:ext cx="161925" cy="1600200"/>
        </a:xfrm>
        <a:prstGeom prst="rect">
          <a:avLst/>
        </a:prstGeom>
        <a:noFill/>
        <a:ln w="9525">
          <a:solidFill>
            <a:srgbClr val="000000"/>
          </a:solidFill>
          <a:miter lim="800000"/>
          <a:headEnd/>
          <a:tailEnd/>
        </a:ln>
      </xdr:spPr>
    </xdr:sp>
    <xdr:clientData/>
  </xdr:twoCellAnchor>
  <xdr:twoCellAnchor>
    <xdr:from>
      <xdr:col>2</xdr:col>
      <xdr:colOff>333375</xdr:colOff>
      <xdr:row>22</xdr:row>
      <xdr:rowOff>0</xdr:rowOff>
    </xdr:from>
    <xdr:to>
      <xdr:col>6</xdr:col>
      <xdr:colOff>447675</xdr:colOff>
      <xdr:row>23</xdr:row>
      <xdr:rowOff>0</xdr:rowOff>
    </xdr:to>
    <xdr:sp macro="" textlink="">
      <xdr:nvSpPr>
        <xdr:cNvPr id="5" name="Rectangle 4"/>
        <xdr:cNvSpPr>
          <a:spLocks noChangeArrowheads="1"/>
        </xdr:cNvSpPr>
      </xdr:nvSpPr>
      <xdr:spPr bwMode="auto">
        <a:xfrm>
          <a:off x="1381125" y="3590925"/>
          <a:ext cx="2600325" cy="161925"/>
        </a:xfrm>
        <a:prstGeom prst="rect">
          <a:avLst/>
        </a:prstGeom>
        <a:noFill/>
        <a:ln w="9525">
          <a:solidFill>
            <a:srgbClr val="000000"/>
          </a:solidFill>
          <a:miter lim="800000"/>
          <a:headEnd/>
          <a:tailEnd/>
        </a:ln>
      </xdr:spPr>
    </xdr:sp>
    <xdr:clientData/>
  </xdr:twoCellAnchor>
  <xdr:twoCellAnchor>
    <xdr:from>
      <xdr:col>2</xdr:col>
      <xdr:colOff>333375</xdr:colOff>
      <xdr:row>23</xdr:row>
      <xdr:rowOff>9525</xdr:rowOff>
    </xdr:from>
    <xdr:to>
      <xdr:col>6</xdr:col>
      <xdr:colOff>447675</xdr:colOff>
      <xdr:row>23</xdr:row>
      <xdr:rowOff>95250</xdr:rowOff>
    </xdr:to>
    <xdr:sp macro="" textlink="">
      <xdr:nvSpPr>
        <xdr:cNvPr id="6" name="Rectangle 5"/>
        <xdr:cNvSpPr>
          <a:spLocks noChangeArrowheads="1"/>
        </xdr:cNvSpPr>
      </xdr:nvSpPr>
      <xdr:spPr bwMode="auto">
        <a:xfrm>
          <a:off x="1381125" y="3762375"/>
          <a:ext cx="2600325" cy="85725"/>
        </a:xfrm>
        <a:prstGeom prst="rect">
          <a:avLst/>
        </a:prstGeom>
        <a:noFill/>
        <a:ln w="9525">
          <a:solidFill>
            <a:srgbClr val="000000"/>
          </a:solidFill>
          <a:miter lim="800000"/>
          <a:headEnd/>
          <a:tailEnd/>
        </a:ln>
      </xdr:spPr>
    </xdr:sp>
    <xdr:clientData/>
  </xdr:twoCellAnchor>
  <xdr:twoCellAnchor>
    <xdr:from>
      <xdr:col>2</xdr:col>
      <xdr:colOff>342900</xdr:colOff>
      <xdr:row>23</xdr:row>
      <xdr:rowOff>104775</xdr:rowOff>
    </xdr:from>
    <xdr:to>
      <xdr:col>6</xdr:col>
      <xdr:colOff>447675</xdr:colOff>
      <xdr:row>24</xdr:row>
      <xdr:rowOff>38100</xdr:rowOff>
    </xdr:to>
    <xdr:sp macro="" textlink="">
      <xdr:nvSpPr>
        <xdr:cNvPr id="7" name="Rectangle 6"/>
        <xdr:cNvSpPr>
          <a:spLocks noChangeArrowheads="1"/>
        </xdr:cNvSpPr>
      </xdr:nvSpPr>
      <xdr:spPr bwMode="auto">
        <a:xfrm>
          <a:off x="1390650" y="3857625"/>
          <a:ext cx="2590800" cy="95250"/>
        </a:xfrm>
        <a:prstGeom prst="rect">
          <a:avLst/>
        </a:prstGeom>
        <a:noFill/>
        <a:ln w="9525">
          <a:solidFill>
            <a:srgbClr val="000000"/>
          </a:solidFill>
          <a:miter lim="800000"/>
          <a:headEnd/>
          <a:tailEnd/>
        </a:ln>
      </xdr:spPr>
    </xdr:sp>
    <xdr:clientData/>
  </xdr:twoCellAnchor>
  <xdr:twoCellAnchor>
    <xdr:from>
      <xdr:col>2</xdr:col>
      <xdr:colOff>485775</xdr:colOff>
      <xdr:row>10</xdr:row>
      <xdr:rowOff>152400</xdr:rowOff>
    </xdr:from>
    <xdr:to>
      <xdr:col>3</xdr:col>
      <xdr:colOff>171450</xdr:colOff>
      <xdr:row>12</xdr:row>
      <xdr:rowOff>9525</xdr:rowOff>
    </xdr:to>
    <xdr:sp macro="" textlink="">
      <xdr:nvSpPr>
        <xdr:cNvPr id="8" name="Rectangle 7"/>
        <xdr:cNvSpPr>
          <a:spLocks noChangeArrowheads="1"/>
        </xdr:cNvSpPr>
      </xdr:nvSpPr>
      <xdr:spPr bwMode="auto">
        <a:xfrm>
          <a:off x="1533525" y="1800225"/>
          <a:ext cx="361950" cy="180975"/>
        </a:xfrm>
        <a:prstGeom prst="rect">
          <a:avLst/>
        </a:prstGeom>
        <a:noFill/>
        <a:ln w="9525">
          <a:solidFill>
            <a:srgbClr val="000000"/>
          </a:solidFill>
          <a:miter lim="800000"/>
          <a:headEnd/>
          <a:tailEnd/>
        </a:ln>
      </xdr:spPr>
    </xdr:sp>
    <xdr:clientData/>
  </xdr:twoCellAnchor>
  <xdr:twoCellAnchor>
    <xdr:from>
      <xdr:col>6</xdr:col>
      <xdr:colOff>9525</xdr:colOff>
      <xdr:row>10</xdr:row>
      <xdr:rowOff>142875</xdr:rowOff>
    </xdr:from>
    <xdr:to>
      <xdr:col>6</xdr:col>
      <xdr:colOff>285750</xdr:colOff>
      <xdr:row>12</xdr:row>
      <xdr:rowOff>9525</xdr:rowOff>
    </xdr:to>
    <xdr:sp macro="" textlink="">
      <xdr:nvSpPr>
        <xdr:cNvPr id="9" name="Rectangle 8"/>
        <xdr:cNvSpPr>
          <a:spLocks noChangeArrowheads="1"/>
        </xdr:cNvSpPr>
      </xdr:nvSpPr>
      <xdr:spPr bwMode="auto">
        <a:xfrm>
          <a:off x="3543300" y="1790700"/>
          <a:ext cx="276225" cy="190500"/>
        </a:xfrm>
        <a:prstGeom prst="rect">
          <a:avLst/>
        </a:prstGeom>
        <a:noFill/>
        <a:ln w="9525">
          <a:solidFill>
            <a:srgbClr val="000000"/>
          </a:solidFill>
          <a:miter lim="800000"/>
          <a:headEnd/>
          <a:tailEnd/>
        </a:ln>
      </xdr:spPr>
    </xdr:sp>
    <xdr:clientData/>
  </xdr:twoCellAnchor>
  <xdr:twoCellAnchor>
    <xdr:from>
      <xdr:col>3</xdr:col>
      <xdr:colOff>0</xdr:colOff>
      <xdr:row>10</xdr:row>
      <xdr:rowOff>142875</xdr:rowOff>
    </xdr:from>
    <xdr:to>
      <xdr:col>3</xdr:col>
      <xdr:colOff>0</xdr:colOff>
      <xdr:row>10</xdr:row>
      <xdr:rowOff>152400</xdr:rowOff>
    </xdr:to>
    <xdr:sp macro="" textlink="">
      <xdr:nvSpPr>
        <xdr:cNvPr id="10" name="Arc 9"/>
        <xdr:cNvSpPr>
          <a:spLocks/>
        </xdr:cNvSpPr>
      </xdr:nvSpPr>
      <xdr:spPr bwMode="auto">
        <a:xfrm>
          <a:off x="1724025" y="1790700"/>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4</xdr:col>
      <xdr:colOff>276225</xdr:colOff>
      <xdr:row>7</xdr:row>
      <xdr:rowOff>152400</xdr:rowOff>
    </xdr:from>
    <xdr:to>
      <xdr:col>6</xdr:col>
      <xdr:colOff>19050</xdr:colOff>
      <xdr:row>10</xdr:row>
      <xdr:rowOff>142875</xdr:rowOff>
    </xdr:to>
    <xdr:sp macro="" textlink="">
      <xdr:nvSpPr>
        <xdr:cNvPr id="11" name="Arc 10"/>
        <xdr:cNvSpPr>
          <a:spLocks/>
        </xdr:cNvSpPr>
      </xdr:nvSpPr>
      <xdr:spPr bwMode="auto">
        <a:xfrm>
          <a:off x="2743200" y="1314450"/>
          <a:ext cx="809625" cy="47625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7</xdr:row>
      <xdr:rowOff>152400</xdr:rowOff>
    </xdr:from>
    <xdr:to>
      <xdr:col>4</xdr:col>
      <xdr:colOff>409575</xdr:colOff>
      <xdr:row>11</xdr:row>
      <xdr:rowOff>28575</xdr:rowOff>
    </xdr:to>
    <xdr:sp macro="" textlink="">
      <xdr:nvSpPr>
        <xdr:cNvPr id="12" name="Arc 11"/>
        <xdr:cNvSpPr>
          <a:spLocks/>
        </xdr:cNvSpPr>
      </xdr:nvSpPr>
      <xdr:spPr bwMode="auto">
        <a:xfrm flipH="1">
          <a:off x="1895475" y="1314450"/>
          <a:ext cx="981075" cy="5238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4</xdr:col>
      <xdr:colOff>276225</xdr:colOff>
      <xdr:row>7</xdr:row>
      <xdr:rowOff>66675</xdr:rowOff>
    </xdr:from>
    <xdr:to>
      <xdr:col>6</xdr:col>
      <xdr:colOff>114300</xdr:colOff>
      <xdr:row>10</xdr:row>
      <xdr:rowOff>142875</xdr:rowOff>
    </xdr:to>
    <xdr:sp macro="" textlink="">
      <xdr:nvSpPr>
        <xdr:cNvPr id="13" name="Arc 12"/>
        <xdr:cNvSpPr>
          <a:spLocks/>
        </xdr:cNvSpPr>
      </xdr:nvSpPr>
      <xdr:spPr bwMode="auto">
        <a:xfrm>
          <a:off x="2743200" y="1228725"/>
          <a:ext cx="904875" cy="5619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180975</xdr:colOff>
      <xdr:row>11</xdr:row>
      <xdr:rowOff>0</xdr:rowOff>
    </xdr:from>
    <xdr:to>
      <xdr:col>6</xdr:col>
      <xdr:colOff>9525</xdr:colOff>
      <xdr:row>12</xdr:row>
      <xdr:rowOff>19050</xdr:rowOff>
    </xdr:to>
    <xdr:sp macro="" textlink="">
      <xdr:nvSpPr>
        <xdr:cNvPr id="14" name="Rectangle 13"/>
        <xdr:cNvSpPr>
          <a:spLocks noChangeArrowheads="1"/>
        </xdr:cNvSpPr>
      </xdr:nvSpPr>
      <xdr:spPr bwMode="auto">
        <a:xfrm>
          <a:off x="1905000" y="1809750"/>
          <a:ext cx="1638300" cy="180975"/>
        </a:xfrm>
        <a:prstGeom prst="rect">
          <a:avLst/>
        </a:prstGeom>
        <a:noFill/>
        <a:ln w="9525">
          <a:solidFill>
            <a:srgbClr val="000000"/>
          </a:solidFill>
          <a:miter lim="800000"/>
          <a:headEnd/>
          <a:tailEnd/>
        </a:ln>
      </xdr:spPr>
    </xdr:sp>
    <xdr:clientData/>
  </xdr:twoCellAnchor>
  <xdr:twoCellAnchor>
    <xdr:from>
      <xdr:col>4</xdr:col>
      <xdr:colOff>323850</xdr:colOff>
      <xdr:row>7</xdr:row>
      <xdr:rowOff>152400</xdr:rowOff>
    </xdr:from>
    <xdr:to>
      <xdr:col>4</xdr:col>
      <xdr:colOff>323850</xdr:colOff>
      <xdr:row>11</xdr:row>
      <xdr:rowOff>0</xdr:rowOff>
    </xdr:to>
    <xdr:sp macro="" textlink="">
      <xdr:nvSpPr>
        <xdr:cNvPr id="15" name="Line 14"/>
        <xdr:cNvSpPr>
          <a:spLocks noChangeShapeType="1"/>
        </xdr:cNvSpPr>
      </xdr:nvSpPr>
      <xdr:spPr bwMode="auto">
        <a:xfrm>
          <a:off x="2790825" y="1314450"/>
          <a:ext cx="0" cy="495300"/>
        </a:xfrm>
        <a:prstGeom prst="line">
          <a:avLst/>
        </a:prstGeom>
        <a:noFill/>
        <a:ln w="9525">
          <a:solidFill>
            <a:srgbClr val="000000"/>
          </a:solidFill>
          <a:round/>
          <a:headEnd/>
          <a:tailEnd/>
        </a:ln>
      </xdr:spPr>
    </xdr:sp>
    <xdr:clientData/>
  </xdr:twoCellAnchor>
  <xdr:twoCellAnchor>
    <xdr:from>
      <xdr:col>4</xdr:col>
      <xdr:colOff>342900</xdr:colOff>
      <xdr:row>11</xdr:row>
      <xdr:rowOff>19050</xdr:rowOff>
    </xdr:from>
    <xdr:to>
      <xdr:col>5</xdr:col>
      <xdr:colOff>590550</xdr:colOff>
      <xdr:row>16</xdr:row>
      <xdr:rowOff>66675</xdr:rowOff>
    </xdr:to>
    <xdr:sp macro="" textlink="">
      <xdr:nvSpPr>
        <xdr:cNvPr id="16" name="Line 15"/>
        <xdr:cNvSpPr>
          <a:spLocks noChangeShapeType="1"/>
        </xdr:cNvSpPr>
      </xdr:nvSpPr>
      <xdr:spPr bwMode="auto">
        <a:xfrm flipH="1">
          <a:off x="2809875" y="1828800"/>
          <a:ext cx="723900" cy="857250"/>
        </a:xfrm>
        <a:prstGeom prst="line">
          <a:avLst/>
        </a:prstGeom>
        <a:noFill/>
        <a:ln w="9525">
          <a:solidFill>
            <a:srgbClr val="000000"/>
          </a:solidFill>
          <a:round/>
          <a:headEnd/>
          <a:tailEnd/>
        </a:ln>
      </xdr:spPr>
    </xdr:sp>
    <xdr:clientData/>
  </xdr:twoCellAnchor>
  <xdr:twoCellAnchor>
    <xdr:from>
      <xdr:col>3</xdr:col>
      <xdr:colOff>171450</xdr:colOff>
      <xdr:row>18</xdr:row>
      <xdr:rowOff>95250</xdr:rowOff>
    </xdr:from>
    <xdr:to>
      <xdr:col>4</xdr:col>
      <xdr:colOff>352425</xdr:colOff>
      <xdr:row>18</xdr:row>
      <xdr:rowOff>95250</xdr:rowOff>
    </xdr:to>
    <xdr:sp macro="" textlink="">
      <xdr:nvSpPr>
        <xdr:cNvPr id="17" name="Line 16"/>
        <xdr:cNvSpPr>
          <a:spLocks noChangeShapeType="1"/>
        </xdr:cNvSpPr>
      </xdr:nvSpPr>
      <xdr:spPr bwMode="auto">
        <a:xfrm>
          <a:off x="1895475" y="3038475"/>
          <a:ext cx="923925" cy="0"/>
        </a:xfrm>
        <a:prstGeom prst="line">
          <a:avLst/>
        </a:prstGeom>
        <a:noFill/>
        <a:ln w="9525">
          <a:solidFill>
            <a:srgbClr val="000000"/>
          </a:solidFill>
          <a:round/>
          <a:headEnd/>
          <a:tailEnd/>
        </a:ln>
      </xdr:spPr>
    </xdr:sp>
    <xdr:clientData/>
  </xdr:twoCellAnchor>
  <xdr:twoCellAnchor>
    <xdr:from>
      <xdr:col>5</xdr:col>
      <xdr:colOff>76200</xdr:colOff>
      <xdr:row>18</xdr:row>
      <xdr:rowOff>104775</xdr:rowOff>
    </xdr:from>
    <xdr:to>
      <xdr:col>5</xdr:col>
      <xdr:colOff>419100</xdr:colOff>
      <xdr:row>18</xdr:row>
      <xdr:rowOff>104775</xdr:rowOff>
    </xdr:to>
    <xdr:sp macro="" textlink="">
      <xdr:nvSpPr>
        <xdr:cNvPr id="18" name="Line 17"/>
        <xdr:cNvSpPr>
          <a:spLocks noChangeShapeType="1"/>
        </xdr:cNvSpPr>
      </xdr:nvSpPr>
      <xdr:spPr bwMode="auto">
        <a:xfrm flipH="1">
          <a:off x="3057525" y="3048000"/>
          <a:ext cx="342900" cy="0"/>
        </a:xfrm>
        <a:prstGeom prst="line">
          <a:avLst/>
        </a:prstGeom>
        <a:noFill/>
        <a:ln w="9525">
          <a:solidFill>
            <a:srgbClr val="000000"/>
          </a:solidFill>
          <a:round/>
          <a:headEnd/>
          <a:tailEnd/>
        </a:ln>
      </xdr:spPr>
    </xdr:sp>
    <xdr:clientData/>
  </xdr:twoCellAnchor>
  <xdr:twoCellAnchor>
    <xdr:from>
      <xdr:col>1</xdr:col>
      <xdr:colOff>209550</xdr:colOff>
      <xdr:row>14</xdr:row>
      <xdr:rowOff>76200</xdr:rowOff>
    </xdr:from>
    <xdr:to>
      <xdr:col>2</xdr:col>
      <xdr:colOff>657225</xdr:colOff>
      <xdr:row>14</xdr:row>
      <xdr:rowOff>76200</xdr:rowOff>
    </xdr:to>
    <xdr:sp macro="" textlink="">
      <xdr:nvSpPr>
        <xdr:cNvPr id="19" name="Line 18"/>
        <xdr:cNvSpPr>
          <a:spLocks noChangeShapeType="1"/>
        </xdr:cNvSpPr>
      </xdr:nvSpPr>
      <xdr:spPr bwMode="auto">
        <a:xfrm>
          <a:off x="552450" y="2371725"/>
          <a:ext cx="1152525" cy="0"/>
        </a:xfrm>
        <a:prstGeom prst="line">
          <a:avLst/>
        </a:prstGeom>
        <a:noFill/>
        <a:ln w="9525">
          <a:solidFill>
            <a:srgbClr val="000000"/>
          </a:solidFill>
          <a:round/>
          <a:headEnd/>
          <a:tailEnd/>
        </a:ln>
      </xdr:spPr>
    </xdr:sp>
    <xdr:clientData/>
  </xdr:twoCellAnchor>
  <xdr:twoCellAnchor>
    <xdr:from>
      <xdr:col>6</xdr:col>
      <xdr:colOff>180975</xdr:colOff>
      <xdr:row>14</xdr:row>
      <xdr:rowOff>66675</xdr:rowOff>
    </xdr:from>
    <xdr:to>
      <xdr:col>7</xdr:col>
      <xdr:colOff>304800</xdr:colOff>
      <xdr:row>14</xdr:row>
      <xdr:rowOff>66675</xdr:rowOff>
    </xdr:to>
    <xdr:sp macro="" textlink="">
      <xdr:nvSpPr>
        <xdr:cNvPr id="20" name="Line 19"/>
        <xdr:cNvSpPr>
          <a:spLocks noChangeShapeType="1"/>
        </xdr:cNvSpPr>
      </xdr:nvSpPr>
      <xdr:spPr bwMode="auto">
        <a:xfrm>
          <a:off x="3714750" y="2362200"/>
          <a:ext cx="800100" cy="0"/>
        </a:xfrm>
        <a:prstGeom prst="line">
          <a:avLst/>
        </a:prstGeom>
        <a:noFill/>
        <a:ln w="9525">
          <a:solidFill>
            <a:srgbClr val="000000"/>
          </a:solidFill>
          <a:round/>
          <a:headEnd/>
          <a:tailEnd/>
        </a:ln>
      </xdr:spPr>
    </xdr:sp>
    <xdr:clientData/>
  </xdr:twoCellAnchor>
  <xdr:twoCellAnchor>
    <xdr:from>
      <xdr:col>4</xdr:col>
      <xdr:colOff>295275</xdr:colOff>
      <xdr:row>10</xdr:row>
      <xdr:rowOff>114300</xdr:rowOff>
    </xdr:from>
    <xdr:to>
      <xdr:col>4</xdr:col>
      <xdr:colOff>400050</xdr:colOff>
      <xdr:row>11</xdr:row>
      <xdr:rowOff>28575</xdr:rowOff>
    </xdr:to>
    <xdr:sp macro="" textlink="">
      <xdr:nvSpPr>
        <xdr:cNvPr id="21" name="Line 20"/>
        <xdr:cNvSpPr>
          <a:spLocks noChangeShapeType="1"/>
        </xdr:cNvSpPr>
      </xdr:nvSpPr>
      <xdr:spPr bwMode="auto">
        <a:xfrm flipV="1">
          <a:off x="2762250" y="1762125"/>
          <a:ext cx="104775" cy="76200"/>
        </a:xfrm>
        <a:prstGeom prst="line">
          <a:avLst/>
        </a:prstGeom>
        <a:noFill/>
        <a:ln w="9525">
          <a:solidFill>
            <a:srgbClr val="000000"/>
          </a:solidFill>
          <a:round/>
          <a:headEnd/>
          <a:tailEnd/>
        </a:ln>
      </xdr:spPr>
    </xdr:sp>
    <xdr:clientData/>
  </xdr:twoCellAnchor>
  <xdr:twoCellAnchor>
    <xdr:from>
      <xdr:col>4</xdr:col>
      <xdr:colOff>285750</xdr:colOff>
      <xdr:row>7</xdr:row>
      <xdr:rowOff>114300</xdr:rowOff>
    </xdr:from>
    <xdr:to>
      <xdr:col>4</xdr:col>
      <xdr:colOff>371475</xdr:colOff>
      <xdr:row>8</xdr:row>
      <xdr:rowOff>19050</xdr:rowOff>
    </xdr:to>
    <xdr:sp macro="" textlink="">
      <xdr:nvSpPr>
        <xdr:cNvPr id="22" name="Line 21"/>
        <xdr:cNvSpPr>
          <a:spLocks noChangeShapeType="1"/>
        </xdr:cNvSpPr>
      </xdr:nvSpPr>
      <xdr:spPr bwMode="auto">
        <a:xfrm flipV="1">
          <a:off x="2752725" y="1276350"/>
          <a:ext cx="85725" cy="66675"/>
        </a:xfrm>
        <a:prstGeom prst="line">
          <a:avLst/>
        </a:prstGeom>
        <a:noFill/>
        <a:ln w="9525">
          <a:solidFill>
            <a:srgbClr val="000000"/>
          </a:solidFill>
          <a:round/>
          <a:headEnd/>
          <a:tailEnd/>
        </a:ln>
      </xdr:spPr>
    </xdr:sp>
    <xdr:clientData/>
  </xdr:twoCellAnchor>
  <xdr:twoCellAnchor>
    <xdr:from>
      <xdr:col>3</xdr:col>
      <xdr:colOff>133350</xdr:colOff>
      <xdr:row>18</xdr:row>
      <xdr:rowOff>47625</xdr:rowOff>
    </xdr:from>
    <xdr:to>
      <xdr:col>3</xdr:col>
      <xdr:colOff>228600</xdr:colOff>
      <xdr:row>18</xdr:row>
      <xdr:rowOff>123825</xdr:rowOff>
    </xdr:to>
    <xdr:sp macro="" textlink="">
      <xdr:nvSpPr>
        <xdr:cNvPr id="23" name="Line 22"/>
        <xdr:cNvSpPr>
          <a:spLocks noChangeShapeType="1"/>
        </xdr:cNvSpPr>
      </xdr:nvSpPr>
      <xdr:spPr bwMode="auto">
        <a:xfrm flipV="1">
          <a:off x="1857375" y="2990850"/>
          <a:ext cx="95250" cy="76200"/>
        </a:xfrm>
        <a:prstGeom prst="line">
          <a:avLst/>
        </a:prstGeom>
        <a:noFill/>
        <a:ln w="9525">
          <a:solidFill>
            <a:srgbClr val="000000"/>
          </a:solidFill>
          <a:round/>
          <a:headEnd/>
          <a:tailEnd/>
        </a:ln>
      </xdr:spPr>
    </xdr:sp>
    <xdr:clientData/>
  </xdr:twoCellAnchor>
  <xdr:twoCellAnchor>
    <xdr:from>
      <xdr:col>5</xdr:col>
      <xdr:colOff>571500</xdr:colOff>
      <xdr:row>18</xdr:row>
      <xdr:rowOff>47625</xdr:rowOff>
    </xdr:from>
    <xdr:to>
      <xdr:col>6</xdr:col>
      <xdr:colOff>47625</xdr:colOff>
      <xdr:row>18</xdr:row>
      <xdr:rowOff>142875</xdr:rowOff>
    </xdr:to>
    <xdr:sp macro="" textlink="">
      <xdr:nvSpPr>
        <xdr:cNvPr id="24" name="Line 23"/>
        <xdr:cNvSpPr>
          <a:spLocks noChangeShapeType="1"/>
        </xdr:cNvSpPr>
      </xdr:nvSpPr>
      <xdr:spPr bwMode="auto">
        <a:xfrm flipV="1">
          <a:off x="3533775" y="2990850"/>
          <a:ext cx="47625" cy="95250"/>
        </a:xfrm>
        <a:prstGeom prst="line">
          <a:avLst/>
        </a:prstGeom>
        <a:noFill/>
        <a:ln w="9525">
          <a:solidFill>
            <a:srgbClr val="000000"/>
          </a:solidFill>
          <a:round/>
          <a:headEnd/>
          <a:tailEnd/>
        </a:ln>
      </xdr:spPr>
    </xdr:sp>
    <xdr:clientData/>
  </xdr:twoCellAnchor>
  <xdr:twoCellAnchor>
    <xdr:from>
      <xdr:col>2</xdr:col>
      <xdr:colOff>371475</xdr:colOff>
      <xdr:row>11</xdr:row>
      <xdr:rowOff>19050</xdr:rowOff>
    </xdr:from>
    <xdr:to>
      <xdr:col>2</xdr:col>
      <xdr:colOff>371475</xdr:colOff>
      <xdr:row>11</xdr:row>
      <xdr:rowOff>38100</xdr:rowOff>
    </xdr:to>
    <xdr:sp macro="" textlink="">
      <xdr:nvSpPr>
        <xdr:cNvPr id="25" name="Line 45"/>
        <xdr:cNvSpPr>
          <a:spLocks noChangeShapeType="1"/>
        </xdr:cNvSpPr>
      </xdr:nvSpPr>
      <xdr:spPr bwMode="auto">
        <a:xfrm>
          <a:off x="1419225" y="1828800"/>
          <a:ext cx="0" cy="19050"/>
        </a:xfrm>
        <a:prstGeom prst="line">
          <a:avLst/>
        </a:prstGeom>
        <a:noFill/>
        <a:ln w="9525">
          <a:solidFill>
            <a:srgbClr val="000000"/>
          </a:solidFill>
          <a:round/>
          <a:headEnd/>
          <a:tailEnd/>
        </a:ln>
      </xdr:spPr>
    </xdr:sp>
    <xdr:clientData/>
  </xdr:twoCellAnchor>
  <xdr:twoCellAnchor>
    <xdr:from>
      <xdr:col>2</xdr:col>
      <xdr:colOff>371475</xdr:colOff>
      <xdr:row>11</xdr:row>
      <xdr:rowOff>9525</xdr:rowOff>
    </xdr:from>
    <xdr:to>
      <xdr:col>2</xdr:col>
      <xdr:colOff>381000</xdr:colOff>
      <xdr:row>11</xdr:row>
      <xdr:rowOff>38100</xdr:rowOff>
    </xdr:to>
    <xdr:sp macro="" textlink="">
      <xdr:nvSpPr>
        <xdr:cNvPr id="26" name="Line 46"/>
        <xdr:cNvSpPr>
          <a:spLocks noChangeShapeType="1"/>
        </xdr:cNvSpPr>
      </xdr:nvSpPr>
      <xdr:spPr bwMode="auto">
        <a:xfrm>
          <a:off x="1419225" y="1819275"/>
          <a:ext cx="9525" cy="28575"/>
        </a:xfrm>
        <a:prstGeom prst="line">
          <a:avLst/>
        </a:prstGeom>
        <a:noFill/>
        <a:ln w="9525">
          <a:solidFill>
            <a:srgbClr val="000000"/>
          </a:solidFill>
          <a:round/>
          <a:headEnd/>
          <a:tailEnd/>
        </a:ln>
      </xdr:spPr>
    </xdr:sp>
    <xdr:clientData/>
  </xdr:twoCellAnchor>
  <xdr:twoCellAnchor>
    <xdr:from>
      <xdr:col>2</xdr:col>
      <xdr:colOff>371475</xdr:colOff>
      <xdr:row>10</xdr:row>
      <xdr:rowOff>152400</xdr:rowOff>
    </xdr:from>
    <xdr:to>
      <xdr:col>2</xdr:col>
      <xdr:colOff>381000</xdr:colOff>
      <xdr:row>11</xdr:row>
      <xdr:rowOff>28575</xdr:rowOff>
    </xdr:to>
    <xdr:sp macro="" textlink="">
      <xdr:nvSpPr>
        <xdr:cNvPr id="27" name="Line 47"/>
        <xdr:cNvSpPr>
          <a:spLocks noChangeShapeType="1"/>
        </xdr:cNvSpPr>
      </xdr:nvSpPr>
      <xdr:spPr bwMode="auto">
        <a:xfrm>
          <a:off x="1419225" y="1800225"/>
          <a:ext cx="9525" cy="38100"/>
        </a:xfrm>
        <a:prstGeom prst="line">
          <a:avLst/>
        </a:prstGeom>
        <a:noFill/>
        <a:ln w="9525">
          <a:solidFill>
            <a:srgbClr val="000000"/>
          </a:solidFill>
          <a:round/>
          <a:headEnd/>
          <a:tailEnd/>
        </a:ln>
      </xdr:spPr>
    </xdr:sp>
    <xdr:clientData/>
  </xdr:twoCellAnchor>
  <xdr:twoCellAnchor>
    <xdr:from>
      <xdr:col>2</xdr:col>
      <xdr:colOff>361950</xdr:colOff>
      <xdr:row>10</xdr:row>
      <xdr:rowOff>142875</xdr:rowOff>
    </xdr:from>
    <xdr:to>
      <xdr:col>2</xdr:col>
      <xdr:colOff>361950</xdr:colOff>
      <xdr:row>12</xdr:row>
      <xdr:rowOff>47625</xdr:rowOff>
    </xdr:to>
    <xdr:sp macro="" textlink="">
      <xdr:nvSpPr>
        <xdr:cNvPr id="28" name="Line 48"/>
        <xdr:cNvSpPr>
          <a:spLocks noChangeShapeType="1"/>
        </xdr:cNvSpPr>
      </xdr:nvSpPr>
      <xdr:spPr bwMode="auto">
        <a:xfrm>
          <a:off x="1409700" y="1790700"/>
          <a:ext cx="0" cy="228600"/>
        </a:xfrm>
        <a:prstGeom prst="line">
          <a:avLst/>
        </a:prstGeom>
        <a:noFill/>
        <a:ln w="9525">
          <a:solidFill>
            <a:srgbClr val="000000"/>
          </a:solidFill>
          <a:round/>
          <a:headEnd/>
          <a:tailEnd/>
        </a:ln>
      </xdr:spPr>
    </xdr:sp>
    <xdr:clientData/>
  </xdr:twoCellAnchor>
  <xdr:twoCellAnchor>
    <xdr:from>
      <xdr:col>2</xdr:col>
      <xdr:colOff>323850</xdr:colOff>
      <xdr:row>10</xdr:row>
      <xdr:rowOff>104775</xdr:rowOff>
    </xdr:from>
    <xdr:to>
      <xdr:col>2</xdr:col>
      <xdr:colOff>419100</xdr:colOff>
      <xdr:row>11</xdr:row>
      <xdr:rowOff>19050</xdr:rowOff>
    </xdr:to>
    <xdr:sp macro="" textlink="">
      <xdr:nvSpPr>
        <xdr:cNvPr id="29" name="Line 49"/>
        <xdr:cNvSpPr>
          <a:spLocks noChangeShapeType="1"/>
        </xdr:cNvSpPr>
      </xdr:nvSpPr>
      <xdr:spPr bwMode="auto">
        <a:xfrm flipV="1">
          <a:off x="1371600" y="1752600"/>
          <a:ext cx="95250" cy="76200"/>
        </a:xfrm>
        <a:prstGeom prst="line">
          <a:avLst/>
        </a:prstGeom>
        <a:noFill/>
        <a:ln w="9525">
          <a:solidFill>
            <a:srgbClr val="000000"/>
          </a:solidFill>
          <a:round/>
          <a:headEnd/>
          <a:tailEnd/>
        </a:ln>
      </xdr:spPr>
    </xdr:sp>
    <xdr:clientData/>
  </xdr:twoCellAnchor>
  <xdr:twoCellAnchor>
    <xdr:from>
      <xdr:col>2</xdr:col>
      <xdr:colOff>323850</xdr:colOff>
      <xdr:row>11</xdr:row>
      <xdr:rowOff>114300</xdr:rowOff>
    </xdr:from>
    <xdr:to>
      <xdr:col>2</xdr:col>
      <xdr:colOff>409575</xdr:colOff>
      <xdr:row>12</xdr:row>
      <xdr:rowOff>19050</xdr:rowOff>
    </xdr:to>
    <xdr:sp macro="" textlink="">
      <xdr:nvSpPr>
        <xdr:cNvPr id="30" name="Line 50"/>
        <xdr:cNvSpPr>
          <a:spLocks noChangeShapeType="1"/>
        </xdr:cNvSpPr>
      </xdr:nvSpPr>
      <xdr:spPr bwMode="auto">
        <a:xfrm flipV="1">
          <a:off x="1371600" y="1924050"/>
          <a:ext cx="85725" cy="66675"/>
        </a:xfrm>
        <a:prstGeom prst="line">
          <a:avLst/>
        </a:prstGeom>
        <a:noFill/>
        <a:ln w="9525">
          <a:solidFill>
            <a:srgbClr val="000000"/>
          </a:solidFill>
          <a:round/>
          <a:headEnd/>
          <a:tailEnd/>
        </a:ln>
      </xdr:spPr>
    </xdr:sp>
    <xdr:clientData/>
  </xdr:twoCellAnchor>
  <xdr:twoCellAnchor>
    <xdr:from>
      <xdr:col>2</xdr:col>
      <xdr:colOff>485775</xdr:colOff>
      <xdr:row>10</xdr:row>
      <xdr:rowOff>85725</xdr:rowOff>
    </xdr:from>
    <xdr:to>
      <xdr:col>3</xdr:col>
      <xdr:colOff>200025</xdr:colOff>
      <xdr:row>10</xdr:row>
      <xdr:rowOff>85725</xdr:rowOff>
    </xdr:to>
    <xdr:sp macro="" textlink="">
      <xdr:nvSpPr>
        <xdr:cNvPr id="31" name="Line 51"/>
        <xdr:cNvSpPr>
          <a:spLocks noChangeShapeType="1"/>
        </xdr:cNvSpPr>
      </xdr:nvSpPr>
      <xdr:spPr bwMode="auto">
        <a:xfrm>
          <a:off x="1533525" y="1733550"/>
          <a:ext cx="390525" cy="0"/>
        </a:xfrm>
        <a:prstGeom prst="line">
          <a:avLst/>
        </a:prstGeom>
        <a:noFill/>
        <a:ln w="9525">
          <a:solidFill>
            <a:srgbClr val="000000"/>
          </a:solidFill>
          <a:round/>
          <a:headEnd/>
          <a:tailEnd/>
        </a:ln>
      </xdr:spPr>
    </xdr:sp>
    <xdr:clientData/>
  </xdr:twoCellAnchor>
  <xdr:twoCellAnchor>
    <xdr:from>
      <xdr:col>2</xdr:col>
      <xdr:colOff>466725</xdr:colOff>
      <xdr:row>10</xdr:row>
      <xdr:rowOff>19050</xdr:rowOff>
    </xdr:from>
    <xdr:to>
      <xdr:col>2</xdr:col>
      <xdr:colOff>533400</xdr:colOff>
      <xdr:row>10</xdr:row>
      <xdr:rowOff>104775</xdr:rowOff>
    </xdr:to>
    <xdr:sp macro="" textlink="">
      <xdr:nvSpPr>
        <xdr:cNvPr id="32" name="Line 52"/>
        <xdr:cNvSpPr>
          <a:spLocks noChangeShapeType="1"/>
        </xdr:cNvSpPr>
      </xdr:nvSpPr>
      <xdr:spPr bwMode="auto">
        <a:xfrm flipV="1">
          <a:off x="1514475" y="1666875"/>
          <a:ext cx="66675" cy="85725"/>
        </a:xfrm>
        <a:prstGeom prst="line">
          <a:avLst/>
        </a:prstGeom>
        <a:noFill/>
        <a:ln w="9525">
          <a:solidFill>
            <a:srgbClr val="000000"/>
          </a:solidFill>
          <a:round/>
          <a:headEnd/>
          <a:tailEnd/>
        </a:ln>
      </xdr:spPr>
    </xdr:sp>
    <xdr:clientData/>
  </xdr:twoCellAnchor>
  <xdr:twoCellAnchor>
    <xdr:from>
      <xdr:col>3</xdr:col>
      <xdr:colOff>161925</xdr:colOff>
      <xdr:row>10</xdr:row>
      <xdr:rowOff>19050</xdr:rowOff>
    </xdr:from>
    <xdr:to>
      <xdr:col>3</xdr:col>
      <xdr:colOff>257175</xdr:colOff>
      <xdr:row>10</xdr:row>
      <xdr:rowOff>123825</xdr:rowOff>
    </xdr:to>
    <xdr:sp macro="" textlink="">
      <xdr:nvSpPr>
        <xdr:cNvPr id="33" name="Line 53"/>
        <xdr:cNvSpPr>
          <a:spLocks noChangeShapeType="1"/>
        </xdr:cNvSpPr>
      </xdr:nvSpPr>
      <xdr:spPr bwMode="auto">
        <a:xfrm flipV="1">
          <a:off x="1885950" y="1666875"/>
          <a:ext cx="95250" cy="104775"/>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4" name="Line 54"/>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5" name="Line 55"/>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6" name="Line 56"/>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7" name="Line 57"/>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171450</xdr:colOff>
      <xdr:row>21</xdr:row>
      <xdr:rowOff>104775</xdr:rowOff>
    </xdr:from>
    <xdr:to>
      <xdr:col>6</xdr:col>
      <xdr:colOff>457200</xdr:colOff>
      <xdr:row>21</xdr:row>
      <xdr:rowOff>104775</xdr:rowOff>
    </xdr:to>
    <xdr:sp macro="" textlink="">
      <xdr:nvSpPr>
        <xdr:cNvPr id="38" name="Line 58"/>
        <xdr:cNvSpPr>
          <a:spLocks noChangeShapeType="1"/>
        </xdr:cNvSpPr>
      </xdr:nvSpPr>
      <xdr:spPr bwMode="auto">
        <a:xfrm>
          <a:off x="3705225" y="3533775"/>
          <a:ext cx="285750" cy="0"/>
        </a:xfrm>
        <a:prstGeom prst="line">
          <a:avLst/>
        </a:prstGeom>
        <a:noFill/>
        <a:ln w="9525">
          <a:solidFill>
            <a:srgbClr val="000000"/>
          </a:solidFill>
          <a:round/>
          <a:headEnd/>
          <a:tailEnd/>
        </a:ln>
      </xdr:spPr>
    </xdr:sp>
    <xdr:clientData/>
  </xdr:twoCellAnchor>
  <xdr:twoCellAnchor>
    <xdr:from>
      <xdr:col>6</xdr:col>
      <xdr:colOff>447675</xdr:colOff>
      <xdr:row>21</xdr:row>
      <xdr:rowOff>57150</xdr:rowOff>
    </xdr:from>
    <xdr:to>
      <xdr:col>6</xdr:col>
      <xdr:colOff>447675</xdr:colOff>
      <xdr:row>21</xdr:row>
      <xdr:rowOff>142875</xdr:rowOff>
    </xdr:to>
    <xdr:sp macro="" textlink="">
      <xdr:nvSpPr>
        <xdr:cNvPr id="39" name="Line 59"/>
        <xdr:cNvSpPr>
          <a:spLocks noChangeShapeType="1"/>
        </xdr:cNvSpPr>
      </xdr:nvSpPr>
      <xdr:spPr bwMode="auto">
        <a:xfrm>
          <a:off x="3981450" y="3486150"/>
          <a:ext cx="0" cy="85725"/>
        </a:xfrm>
        <a:prstGeom prst="line">
          <a:avLst/>
        </a:prstGeom>
        <a:noFill/>
        <a:ln w="9525">
          <a:solidFill>
            <a:srgbClr val="000000"/>
          </a:solidFill>
          <a:round/>
          <a:headEnd/>
          <a:tailEnd/>
        </a:ln>
      </xdr:spPr>
    </xdr:sp>
    <xdr:clientData/>
  </xdr:twoCellAnchor>
  <xdr:twoCellAnchor>
    <xdr:from>
      <xdr:col>6</xdr:col>
      <xdr:colOff>323850</xdr:colOff>
      <xdr:row>20</xdr:row>
      <xdr:rowOff>85725</xdr:rowOff>
    </xdr:from>
    <xdr:to>
      <xdr:col>6</xdr:col>
      <xdr:colOff>409575</xdr:colOff>
      <xdr:row>21</xdr:row>
      <xdr:rowOff>85725</xdr:rowOff>
    </xdr:to>
    <xdr:sp macro="" textlink="">
      <xdr:nvSpPr>
        <xdr:cNvPr id="40" name="Line 60"/>
        <xdr:cNvSpPr>
          <a:spLocks noChangeShapeType="1"/>
        </xdr:cNvSpPr>
      </xdr:nvSpPr>
      <xdr:spPr bwMode="auto">
        <a:xfrm flipV="1">
          <a:off x="3857625" y="3352800"/>
          <a:ext cx="85725" cy="161925"/>
        </a:xfrm>
        <a:prstGeom prst="line">
          <a:avLst/>
        </a:prstGeom>
        <a:noFill/>
        <a:ln w="9525">
          <a:solidFill>
            <a:srgbClr val="000000"/>
          </a:solidFill>
          <a:round/>
          <a:headEnd/>
          <a:tailEnd/>
        </a:ln>
      </xdr:spPr>
    </xdr:sp>
    <xdr:clientData/>
  </xdr:twoCellAnchor>
  <xdr:twoCellAnchor>
    <xdr:from>
      <xdr:col>6</xdr:col>
      <xdr:colOff>438150</xdr:colOff>
      <xdr:row>23</xdr:row>
      <xdr:rowOff>38100</xdr:rowOff>
    </xdr:from>
    <xdr:to>
      <xdr:col>7</xdr:col>
      <xdr:colOff>19050</xdr:colOff>
      <xdr:row>23</xdr:row>
      <xdr:rowOff>85725</xdr:rowOff>
    </xdr:to>
    <xdr:sp macro="" textlink="">
      <xdr:nvSpPr>
        <xdr:cNvPr id="41" name="Line 61"/>
        <xdr:cNvSpPr>
          <a:spLocks noChangeShapeType="1"/>
        </xdr:cNvSpPr>
      </xdr:nvSpPr>
      <xdr:spPr bwMode="auto">
        <a:xfrm>
          <a:off x="3971925" y="3790950"/>
          <a:ext cx="257175" cy="47625"/>
        </a:xfrm>
        <a:prstGeom prst="line">
          <a:avLst/>
        </a:prstGeom>
        <a:noFill/>
        <a:ln w="9525">
          <a:solidFill>
            <a:srgbClr val="000000"/>
          </a:solidFill>
          <a:round/>
          <a:headEnd/>
          <a:tailEnd/>
        </a:ln>
      </xdr:spPr>
    </xdr:sp>
    <xdr:clientData/>
  </xdr:twoCellAnchor>
  <xdr:twoCellAnchor>
    <xdr:from>
      <xdr:col>6</xdr:col>
      <xdr:colOff>447675</xdr:colOff>
      <xdr:row>23</xdr:row>
      <xdr:rowOff>152400</xdr:rowOff>
    </xdr:from>
    <xdr:to>
      <xdr:col>7</xdr:col>
      <xdr:colOff>19050</xdr:colOff>
      <xdr:row>24</xdr:row>
      <xdr:rowOff>85725</xdr:rowOff>
    </xdr:to>
    <xdr:sp macro="" textlink="">
      <xdr:nvSpPr>
        <xdr:cNvPr id="42" name="Line 62"/>
        <xdr:cNvSpPr>
          <a:spLocks noChangeShapeType="1"/>
        </xdr:cNvSpPr>
      </xdr:nvSpPr>
      <xdr:spPr bwMode="auto">
        <a:xfrm>
          <a:off x="3981450" y="3905250"/>
          <a:ext cx="247650" cy="95250"/>
        </a:xfrm>
        <a:prstGeom prst="line">
          <a:avLst/>
        </a:prstGeom>
        <a:noFill/>
        <a:ln w="9525">
          <a:solidFill>
            <a:srgbClr val="000000"/>
          </a:solidFill>
          <a:round/>
          <a:headEnd/>
          <a:tailEnd/>
        </a:ln>
      </xdr:spPr>
    </xdr:sp>
    <xdr:clientData/>
  </xdr:twoCellAnchor>
  <xdr:twoCellAnchor>
    <xdr:from>
      <xdr:col>2</xdr:col>
      <xdr:colOff>314325</xdr:colOff>
      <xdr:row>24</xdr:row>
      <xdr:rowOff>133350</xdr:rowOff>
    </xdr:from>
    <xdr:to>
      <xdr:col>6</xdr:col>
      <xdr:colOff>457200</xdr:colOff>
      <xdr:row>24</xdr:row>
      <xdr:rowOff>133350</xdr:rowOff>
    </xdr:to>
    <xdr:sp macro="" textlink="">
      <xdr:nvSpPr>
        <xdr:cNvPr id="43" name="Line 63"/>
        <xdr:cNvSpPr>
          <a:spLocks noChangeShapeType="1"/>
        </xdr:cNvSpPr>
      </xdr:nvSpPr>
      <xdr:spPr bwMode="auto">
        <a:xfrm>
          <a:off x="1362075" y="4048125"/>
          <a:ext cx="2628900" cy="0"/>
        </a:xfrm>
        <a:prstGeom prst="line">
          <a:avLst/>
        </a:prstGeom>
        <a:noFill/>
        <a:ln w="9525">
          <a:solidFill>
            <a:srgbClr val="000000"/>
          </a:solidFill>
          <a:round/>
          <a:headEnd/>
          <a:tailEnd/>
        </a:ln>
      </xdr:spPr>
    </xdr:sp>
    <xdr:clientData/>
  </xdr:twoCellAnchor>
  <xdr:twoCellAnchor>
    <xdr:from>
      <xdr:col>2</xdr:col>
      <xdr:colOff>314325</xdr:colOff>
      <xdr:row>24</xdr:row>
      <xdr:rowOff>57150</xdr:rowOff>
    </xdr:from>
    <xdr:to>
      <xdr:col>2</xdr:col>
      <xdr:colOff>314325</xdr:colOff>
      <xdr:row>25</xdr:row>
      <xdr:rowOff>19050</xdr:rowOff>
    </xdr:to>
    <xdr:sp macro="" textlink="">
      <xdr:nvSpPr>
        <xdr:cNvPr id="44" name="Line 64"/>
        <xdr:cNvSpPr>
          <a:spLocks noChangeShapeType="1"/>
        </xdr:cNvSpPr>
      </xdr:nvSpPr>
      <xdr:spPr bwMode="auto">
        <a:xfrm>
          <a:off x="1362075" y="3971925"/>
          <a:ext cx="0" cy="123825"/>
        </a:xfrm>
        <a:prstGeom prst="line">
          <a:avLst/>
        </a:prstGeom>
        <a:noFill/>
        <a:ln w="9525">
          <a:solidFill>
            <a:srgbClr val="000000"/>
          </a:solidFill>
          <a:round/>
          <a:headEnd/>
          <a:tailEnd/>
        </a:ln>
      </xdr:spPr>
    </xdr:sp>
    <xdr:clientData/>
  </xdr:twoCellAnchor>
  <xdr:twoCellAnchor>
    <xdr:from>
      <xdr:col>6</xdr:col>
      <xdr:colOff>457200</xdr:colOff>
      <xdr:row>24</xdr:row>
      <xdr:rowOff>66675</xdr:rowOff>
    </xdr:from>
    <xdr:to>
      <xdr:col>6</xdr:col>
      <xdr:colOff>457200</xdr:colOff>
      <xdr:row>25</xdr:row>
      <xdr:rowOff>76200</xdr:rowOff>
    </xdr:to>
    <xdr:sp macro="" textlink="">
      <xdr:nvSpPr>
        <xdr:cNvPr id="45" name="Line 65"/>
        <xdr:cNvSpPr>
          <a:spLocks noChangeShapeType="1"/>
        </xdr:cNvSpPr>
      </xdr:nvSpPr>
      <xdr:spPr bwMode="auto">
        <a:xfrm>
          <a:off x="3990975" y="3981450"/>
          <a:ext cx="0" cy="171450"/>
        </a:xfrm>
        <a:prstGeom prst="line">
          <a:avLst/>
        </a:prstGeom>
        <a:noFill/>
        <a:ln w="9525">
          <a:solidFill>
            <a:srgbClr val="000000"/>
          </a:solidFill>
          <a:round/>
          <a:headEnd/>
          <a:tailEnd/>
        </a:ln>
      </xdr:spPr>
    </xdr:sp>
    <xdr:clientData/>
  </xdr:twoCellAnchor>
  <xdr:twoCellAnchor>
    <xdr:from>
      <xdr:col>46</xdr:col>
      <xdr:colOff>190500</xdr:colOff>
      <xdr:row>79</xdr:row>
      <xdr:rowOff>114300</xdr:rowOff>
    </xdr:from>
    <xdr:to>
      <xdr:col>46</xdr:col>
      <xdr:colOff>276225</xdr:colOff>
      <xdr:row>79</xdr:row>
      <xdr:rowOff>114300</xdr:rowOff>
    </xdr:to>
    <xdr:sp macro="" textlink="">
      <xdr:nvSpPr>
        <xdr:cNvPr id="46" name="Line 66"/>
        <xdr:cNvSpPr>
          <a:spLocks noChangeShapeType="1"/>
        </xdr:cNvSpPr>
      </xdr:nvSpPr>
      <xdr:spPr bwMode="auto">
        <a:xfrm>
          <a:off x="28879800" y="18402300"/>
          <a:ext cx="85725" cy="0"/>
        </a:xfrm>
        <a:prstGeom prst="line">
          <a:avLst/>
        </a:prstGeom>
        <a:noFill/>
        <a:ln w="9525">
          <a:solidFill>
            <a:srgbClr val="000000"/>
          </a:solidFill>
          <a:round/>
          <a:headEnd/>
          <a:tailEnd/>
        </a:ln>
      </xdr:spPr>
    </xdr:sp>
    <xdr:clientData/>
  </xdr:twoCellAnchor>
  <xdr:twoCellAnchor>
    <xdr:from>
      <xdr:col>91</xdr:col>
      <xdr:colOff>171450</xdr:colOff>
      <xdr:row>74</xdr:row>
      <xdr:rowOff>76200</xdr:rowOff>
    </xdr:from>
    <xdr:to>
      <xdr:col>91</xdr:col>
      <xdr:colOff>361950</xdr:colOff>
      <xdr:row>74</xdr:row>
      <xdr:rowOff>123825</xdr:rowOff>
    </xdr:to>
    <xdr:sp macro="" textlink="">
      <xdr:nvSpPr>
        <xdr:cNvPr id="47" name="Line 67"/>
        <xdr:cNvSpPr>
          <a:spLocks noChangeShapeType="1"/>
        </xdr:cNvSpPr>
      </xdr:nvSpPr>
      <xdr:spPr bwMode="auto">
        <a:xfrm>
          <a:off x="56292750" y="17049750"/>
          <a:ext cx="190500" cy="47625"/>
        </a:xfrm>
        <a:prstGeom prst="line">
          <a:avLst/>
        </a:prstGeom>
        <a:noFill/>
        <a:ln w="9525">
          <a:solidFill>
            <a:srgbClr val="000000"/>
          </a:solidFill>
          <a:round/>
          <a:headEnd/>
          <a:tailEnd/>
        </a:ln>
      </xdr:spPr>
    </xdr:sp>
    <xdr:clientData/>
  </xdr:twoCellAnchor>
  <xdr:twoCellAnchor>
    <xdr:from>
      <xdr:col>1</xdr:col>
      <xdr:colOff>552450</xdr:colOff>
      <xdr:row>14</xdr:row>
      <xdr:rowOff>76200</xdr:rowOff>
    </xdr:from>
    <xdr:to>
      <xdr:col>2</xdr:col>
      <xdr:colOff>200025</xdr:colOff>
      <xdr:row>15</xdr:row>
      <xdr:rowOff>76200</xdr:rowOff>
    </xdr:to>
    <xdr:sp macro="" textlink="">
      <xdr:nvSpPr>
        <xdr:cNvPr id="48" name="Line 68"/>
        <xdr:cNvSpPr>
          <a:spLocks noChangeShapeType="1"/>
        </xdr:cNvSpPr>
      </xdr:nvSpPr>
      <xdr:spPr bwMode="auto">
        <a:xfrm flipV="1">
          <a:off x="895350" y="2371725"/>
          <a:ext cx="352425" cy="161925"/>
        </a:xfrm>
        <a:prstGeom prst="line">
          <a:avLst/>
        </a:prstGeom>
        <a:noFill/>
        <a:ln w="9525">
          <a:solidFill>
            <a:srgbClr val="000000"/>
          </a:solidFill>
          <a:round/>
          <a:headEnd/>
          <a:tailEnd/>
        </a:ln>
      </xdr:spPr>
    </xdr:sp>
    <xdr:clientData/>
  </xdr:twoCellAnchor>
  <xdr:twoCellAnchor>
    <xdr:from>
      <xdr:col>1</xdr:col>
      <xdr:colOff>628650</xdr:colOff>
      <xdr:row>14</xdr:row>
      <xdr:rowOff>85725</xdr:rowOff>
    </xdr:from>
    <xdr:to>
      <xdr:col>2</xdr:col>
      <xdr:colOff>276225</xdr:colOff>
      <xdr:row>15</xdr:row>
      <xdr:rowOff>85725</xdr:rowOff>
    </xdr:to>
    <xdr:sp macro="" textlink="">
      <xdr:nvSpPr>
        <xdr:cNvPr id="49" name="Line 69"/>
        <xdr:cNvSpPr>
          <a:spLocks noChangeShapeType="1"/>
        </xdr:cNvSpPr>
      </xdr:nvSpPr>
      <xdr:spPr bwMode="auto">
        <a:xfrm flipV="1">
          <a:off x="971550" y="2381250"/>
          <a:ext cx="352425" cy="161925"/>
        </a:xfrm>
        <a:prstGeom prst="line">
          <a:avLst/>
        </a:prstGeom>
        <a:noFill/>
        <a:ln w="9525">
          <a:solidFill>
            <a:srgbClr val="000000"/>
          </a:solidFill>
          <a:round/>
          <a:headEnd/>
          <a:tailEnd/>
        </a:ln>
      </xdr:spPr>
    </xdr:sp>
    <xdr:clientData/>
  </xdr:twoCellAnchor>
  <xdr:twoCellAnchor>
    <xdr:from>
      <xdr:col>2</xdr:col>
      <xdr:colOff>19050</xdr:colOff>
      <xdr:row>14</xdr:row>
      <xdr:rowOff>85725</xdr:rowOff>
    </xdr:from>
    <xdr:to>
      <xdr:col>2</xdr:col>
      <xdr:colOff>371475</xdr:colOff>
      <xdr:row>15</xdr:row>
      <xdr:rowOff>85725</xdr:rowOff>
    </xdr:to>
    <xdr:sp macro="" textlink="">
      <xdr:nvSpPr>
        <xdr:cNvPr id="50" name="Line 70"/>
        <xdr:cNvSpPr>
          <a:spLocks noChangeShapeType="1"/>
        </xdr:cNvSpPr>
      </xdr:nvSpPr>
      <xdr:spPr bwMode="auto">
        <a:xfrm flipV="1">
          <a:off x="1066800" y="2381250"/>
          <a:ext cx="352425" cy="161925"/>
        </a:xfrm>
        <a:prstGeom prst="line">
          <a:avLst/>
        </a:prstGeom>
        <a:noFill/>
        <a:ln w="9525">
          <a:solidFill>
            <a:srgbClr val="000000"/>
          </a:solidFill>
          <a:round/>
          <a:headEnd/>
          <a:tailEnd/>
        </a:ln>
      </xdr:spPr>
    </xdr:sp>
    <xdr:clientData/>
  </xdr:twoCellAnchor>
  <xdr:twoCellAnchor>
    <xdr:from>
      <xdr:col>2</xdr:col>
      <xdr:colOff>114300</xdr:colOff>
      <xdr:row>14</xdr:row>
      <xdr:rowOff>85725</xdr:rowOff>
    </xdr:from>
    <xdr:to>
      <xdr:col>2</xdr:col>
      <xdr:colOff>466725</xdr:colOff>
      <xdr:row>15</xdr:row>
      <xdr:rowOff>85725</xdr:rowOff>
    </xdr:to>
    <xdr:sp macro="" textlink="">
      <xdr:nvSpPr>
        <xdr:cNvPr id="51" name="Line 71"/>
        <xdr:cNvSpPr>
          <a:spLocks noChangeShapeType="1"/>
        </xdr:cNvSpPr>
      </xdr:nvSpPr>
      <xdr:spPr bwMode="auto">
        <a:xfrm flipV="1">
          <a:off x="1162050" y="2381250"/>
          <a:ext cx="352425" cy="161925"/>
        </a:xfrm>
        <a:prstGeom prst="line">
          <a:avLst/>
        </a:prstGeom>
        <a:noFill/>
        <a:ln w="9525">
          <a:solidFill>
            <a:srgbClr val="000000"/>
          </a:solidFill>
          <a:round/>
          <a:headEnd/>
          <a:tailEnd/>
        </a:ln>
      </xdr:spPr>
    </xdr:sp>
    <xdr:clientData/>
  </xdr:twoCellAnchor>
  <xdr:twoCellAnchor>
    <xdr:from>
      <xdr:col>2</xdr:col>
      <xdr:colOff>209550</xdr:colOff>
      <xdr:row>14</xdr:row>
      <xdr:rowOff>85725</xdr:rowOff>
    </xdr:from>
    <xdr:to>
      <xdr:col>2</xdr:col>
      <xdr:colOff>561975</xdr:colOff>
      <xdr:row>15</xdr:row>
      <xdr:rowOff>85725</xdr:rowOff>
    </xdr:to>
    <xdr:sp macro="" textlink="">
      <xdr:nvSpPr>
        <xdr:cNvPr id="52" name="Line 72"/>
        <xdr:cNvSpPr>
          <a:spLocks noChangeShapeType="1"/>
        </xdr:cNvSpPr>
      </xdr:nvSpPr>
      <xdr:spPr bwMode="auto">
        <a:xfrm flipV="1">
          <a:off x="1257300" y="2381250"/>
          <a:ext cx="352425" cy="161925"/>
        </a:xfrm>
        <a:prstGeom prst="line">
          <a:avLst/>
        </a:prstGeom>
        <a:noFill/>
        <a:ln w="9525">
          <a:solidFill>
            <a:srgbClr val="000000"/>
          </a:solidFill>
          <a:round/>
          <a:headEnd/>
          <a:tailEnd/>
        </a:ln>
      </xdr:spPr>
    </xdr:sp>
    <xdr:clientData/>
  </xdr:twoCellAnchor>
  <xdr:twoCellAnchor>
    <xdr:from>
      <xdr:col>2</xdr:col>
      <xdr:colOff>295275</xdr:colOff>
      <xdr:row>14</xdr:row>
      <xdr:rowOff>85725</xdr:rowOff>
    </xdr:from>
    <xdr:to>
      <xdr:col>2</xdr:col>
      <xdr:colOff>647700</xdr:colOff>
      <xdr:row>15</xdr:row>
      <xdr:rowOff>85725</xdr:rowOff>
    </xdr:to>
    <xdr:sp macro="" textlink="">
      <xdr:nvSpPr>
        <xdr:cNvPr id="53" name="Line 73"/>
        <xdr:cNvSpPr>
          <a:spLocks noChangeShapeType="1"/>
        </xdr:cNvSpPr>
      </xdr:nvSpPr>
      <xdr:spPr bwMode="auto">
        <a:xfrm flipV="1">
          <a:off x="1343025" y="2381250"/>
          <a:ext cx="352425" cy="161925"/>
        </a:xfrm>
        <a:prstGeom prst="line">
          <a:avLst/>
        </a:prstGeom>
        <a:noFill/>
        <a:ln w="9525">
          <a:solidFill>
            <a:srgbClr val="000000"/>
          </a:solidFill>
          <a:round/>
          <a:headEnd/>
          <a:tailEnd/>
        </a:ln>
      </xdr:spPr>
    </xdr:sp>
    <xdr:clientData/>
  </xdr:twoCellAnchor>
  <xdr:twoCellAnchor>
    <xdr:from>
      <xdr:col>6</xdr:col>
      <xdr:colOff>247650</xdr:colOff>
      <xdr:row>14</xdr:row>
      <xdr:rowOff>66675</xdr:rowOff>
    </xdr:from>
    <xdr:to>
      <xdr:col>6</xdr:col>
      <xdr:colOff>514350</xdr:colOff>
      <xdr:row>15</xdr:row>
      <xdr:rowOff>66675</xdr:rowOff>
    </xdr:to>
    <xdr:sp macro="" textlink="">
      <xdr:nvSpPr>
        <xdr:cNvPr id="54" name="Line 74"/>
        <xdr:cNvSpPr>
          <a:spLocks noChangeShapeType="1"/>
        </xdr:cNvSpPr>
      </xdr:nvSpPr>
      <xdr:spPr bwMode="auto">
        <a:xfrm flipV="1">
          <a:off x="3781425" y="2362200"/>
          <a:ext cx="266700" cy="161925"/>
        </a:xfrm>
        <a:prstGeom prst="line">
          <a:avLst/>
        </a:prstGeom>
        <a:noFill/>
        <a:ln w="9525">
          <a:solidFill>
            <a:srgbClr val="000000"/>
          </a:solidFill>
          <a:round/>
          <a:headEnd/>
          <a:tailEnd/>
        </a:ln>
      </xdr:spPr>
    </xdr:sp>
    <xdr:clientData/>
  </xdr:twoCellAnchor>
  <xdr:twoCellAnchor>
    <xdr:from>
      <xdr:col>6</xdr:col>
      <xdr:colOff>314325</xdr:colOff>
      <xdr:row>14</xdr:row>
      <xdr:rowOff>66675</xdr:rowOff>
    </xdr:from>
    <xdr:to>
      <xdr:col>6</xdr:col>
      <xdr:colOff>581025</xdr:colOff>
      <xdr:row>15</xdr:row>
      <xdr:rowOff>66675</xdr:rowOff>
    </xdr:to>
    <xdr:sp macro="" textlink="">
      <xdr:nvSpPr>
        <xdr:cNvPr id="55" name="Line 75"/>
        <xdr:cNvSpPr>
          <a:spLocks noChangeShapeType="1"/>
        </xdr:cNvSpPr>
      </xdr:nvSpPr>
      <xdr:spPr bwMode="auto">
        <a:xfrm flipV="1">
          <a:off x="3848100" y="2362200"/>
          <a:ext cx="266700" cy="161925"/>
        </a:xfrm>
        <a:prstGeom prst="line">
          <a:avLst/>
        </a:prstGeom>
        <a:noFill/>
        <a:ln w="9525">
          <a:solidFill>
            <a:srgbClr val="000000"/>
          </a:solidFill>
          <a:round/>
          <a:headEnd/>
          <a:tailEnd/>
        </a:ln>
      </xdr:spPr>
    </xdr:sp>
    <xdr:clientData/>
  </xdr:twoCellAnchor>
  <xdr:twoCellAnchor>
    <xdr:from>
      <xdr:col>6</xdr:col>
      <xdr:colOff>390525</xdr:colOff>
      <xdr:row>14</xdr:row>
      <xdr:rowOff>66675</xdr:rowOff>
    </xdr:from>
    <xdr:to>
      <xdr:col>6</xdr:col>
      <xdr:colOff>657225</xdr:colOff>
      <xdr:row>15</xdr:row>
      <xdr:rowOff>66675</xdr:rowOff>
    </xdr:to>
    <xdr:sp macro="" textlink="">
      <xdr:nvSpPr>
        <xdr:cNvPr id="56" name="Line 76"/>
        <xdr:cNvSpPr>
          <a:spLocks noChangeShapeType="1"/>
        </xdr:cNvSpPr>
      </xdr:nvSpPr>
      <xdr:spPr bwMode="auto">
        <a:xfrm flipV="1">
          <a:off x="3924300" y="2362200"/>
          <a:ext cx="266700" cy="161925"/>
        </a:xfrm>
        <a:prstGeom prst="line">
          <a:avLst/>
        </a:prstGeom>
        <a:noFill/>
        <a:ln w="9525">
          <a:solidFill>
            <a:srgbClr val="000000"/>
          </a:solidFill>
          <a:round/>
          <a:headEnd/>
          <a:tailEnd/>
        </a:ln>
      </xdr:spPr>
    </xdr:sp>
    <xdr:clientData/>
  </xdr:twoCellAnchor>
  <xdr:twoCellAnchor>
    <xdr:from>
      <xdr:col>6</xdr:col>
      <xdr:colOff>457200</xdr:colOff>
      <xdr:row>14</xdr:row>
      <xdr:rowOff>76200</xdr:rowOff>
    </xdr:from>
    <xdr:to>
      <xdr:col>7</xdr:col>
      <xdr:colOff>47625</xdr:colOff>
      <xdr:row>15</xdr:row>
      <xdr:rowOff>76200</xdr:rowOff>
    </xdr:to>
    <xdr:sp macro="" textlink="">
      <xdr:nvSpPr>
        <xdr:cNvPr id="57" name="Line 77"/>
        <xdr:cNvSpPr>
          <a:spLocks noChangeShapeType="1"/>
        </xdr:cNvSpPr>
      </xdr:nvSpPr>
      <xdr:spPr bwMode="auto">
        <a:xfrm flipV="1">
          <a:off x="3990975" y="2371725"/>
          <a:ext cx="266700" cy="161925"/>
        </a:xfrm>
        <a:prstGeom prst="line">
          <a:avLst/>
        </a:prstGeom>
        <a:noFill/>
        <a:ln w="9525">
          <a:solidFill>
            <a:srgbClr val="000000"/>
          </a:solidFill>
          <a:round/>
          <a:headEnd/>
          <a:tailEnd/>
        </a:ln>
      </xdr:spPr>
    </xdr:sp>
    <xdr:clientData/>
  </xdr:twoCellAnchor>
  <xdr:twoCellAnchor>
    <xdr:from>
      <xdr:col>6</xdr:col>
      <xdr:colOff>533400</xdr:colOff>
      <xdr:row>14</xdr:row>
      <xdr:rowOff>76200</xdr:rowOff>
    </xdr:from>
    <xdr:to>
      <xdr:col>7</xdr:col>
      <xdr:colOff>123825</xdr:colOff>
      <xdr:row>15</xdr:row>
      <xdr:rowOff>76200</xdr:rowOff>
    </xdr:to>
    <xdr:sp macro="" textlink="">
      <xdr:nvSpPr>
        <xdr:cNvPr id="58" name="Line 78"/>
        <xdr:cNvSpPr>
          <a:spLocks noChangeShapeType="1"/>
        </xdr:cNvSpPr>
      </xdr:nvSpPr>
      <xdr:spPr bwMode="auto">
        <a:xfrm flipV="1">
          <a:off x="4067175" y="2371725"/>
          <a:ext cx="266700" cy="161925"/>
        </a:xfrm>
        <a:prstGeom prst="line">
          <a:avLst/>
        </a:prstGeom>
        <a:noFill/>
        <a:ln w="9525">
          <a:solidFill>
            <a:srgbClr val="000000"/>
          </a:solidFill>
          <a:round/>
          <a:headEnd/>
          <a:tailEnd/>
        </a:ln>
      </xdr:spPr>
    </xdr:sp>
    <xdr:clientData/>
  </xdr:twoCellAnchor>
  <xdr:twoCellAnchor>
    <xdr:from>
      <xdr:col>6</xdr:col>
      <xdr:colOff>619125</xdr:colOff>
      <xdr:row>14</xdr:row>
      <xdr:rowOff>66675</xdr:rowOff>
    </xdr:from>
    <xdr:to>
      <xdr:col>7</xdr:col>
      <xdr:colOff>209550</xdr:colOff>
      <xdr:row>15</xdr:row>
      <xdr:rowOff>66675</xdr:rowOff>
    </xdr:to>
    <xdr:sp macro="" textlink="">
      <xdr:nvSpPr>
        <xdr:cNvPr id="59" name="Line 79"/>
        <xdr:cNvSpPr>
          <a:spLocks noChangeShapeType="1"/>
        </xdr:cNvSpPr>
      </xdr:nvSpPr>
      <xdr:spPr bwMode="auto">
        <a:xfrm flipV="1">
          <a:off x="4152900" y="2362200"/>
          <a:ext cx="266700" cy="161925"/>
        </a:xfrm>
        <a:prstGeom prst="line">
          <a:avLst/>
        </a:prstGeom>
        <a:noFill/>
        <a:ln w="9525">
          <a:solidFill>
            <a:srgbClr val="000000"/>
          </a:solidFill>
          <a:round/>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0</xdr:colOff>
      <xdr:row>23</xdr:row>
      <xdr:rowOff>19050</xdr:rowOff>
    </xdr:from>
    <xdr:to>
      <xdr:col>5</xdr:col>
      <xdr:colOff>9525</xdr:colOff>
      <xdr:row>25</xdr:row>
      <xdr:rowOff>9525</xdr:rowOff>
    </xdr:to>
    <xdr:sp macro="" textlink="">
      <xdr:nvSpPr>
        <xdr:cNvPr id="2" name="Rectangle 1"/>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3" name="Line 2"/>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4" name="Line 3"/>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49</xdr:col>
      <xdr:colOff>581025</xdr:colOff>
      <xdr:row>32</xdr:row>
      <xdr:rowOff>85725</xdr:rowOff>
    </xdr:from>
    <xdr:to>
      <xdr:col>50</xdr:col>
      <xdr:colOff>533400</xdr:colOff>
      <xdr:row>32</xdr:row>
      <xdr:rowOff>85725</xdr:rowOff>
    </xdr:to>
    <xdr:sp macro="" textlink="">
      <xdr:nvSpPr>
        <xdr:cNvPr id="5" name="Line 4"/>
        <xdr:cNvSpPr>
          <a:spLocks noChangeShapeType="1"/>
        </xdr:cNvSpPr>
      </xdr:nvSpPr>
      <xdr:spPr bwMode="auto">
        <a:xfrm>
          <a:off x="30775275" y="5295900"/>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6" name="Arc 5"/>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7" name="Arc 6"/>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8" name="Line 7"/>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9" name="Line 8"/>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10" name="Line 9"/>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11" name="Line 10"/>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12" name="Line 11"/>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13" name="Line 12"/>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14" name="Line 13"/>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2</xdr:col>
      <xdr:colOff>571500</xdr:colOff>
      <xdr:row>73</xdr:row>
      <xdr:rowOff>85725</xdr:rowOff>
    </xdr:from>
    <xdr:to>
      <xdr:col>3</xdr:col>
      <xdr:colOff>38100</xdr:colOff>
      <xdr:row>73</xdr:row>
      <xdr:rowOff>85725</xdr:rowOff>
    </xdr:to>
    <xdr:sp macro="" textlink="">
      <xdr:nvSpPr>
        <xdr:cNvPr id="15" name="Line 14"/>
        <xdr:cNvSpPr>
          <a:spLocks noChangeShapeType="1"/>
        </xdr:cNvSpPr>
      </xdr:nvSpPr>
      <xdr:spPr bwMode="auto">
        <a:xfrm>
          <a:off x="1628775" y="13192125"/>
          <a:ext cx="76200" cy="0"/>
        </a:xfrm>
        <a:prstGeom prst="line">
          <a:avLst/>
        </a:prstGeom>
        <a:noFill/>
        <a:ln w="9525">
          <a:solidFill>
            <a:srgbClr val="000000"/>
          </a:solidFill>
          <a:round/>
          <a:headEnd/>
          <a:tailEnd/>
        </a:ln>
      </xdr:spPr>
    </xdr:sp>
    <xdr:clientData/>
  </xdr:twoCellAnchor>
  <xdr:twoCellAnchor>
    <xdr:from>
      <xdr:col>3</xdr:col>
      <xdr:colOff>571500</xdr:colOff>
      <xdr:row>73</xdr:row>
      <xdr:rowOff>38100</xdr:rowOff>
    </xdr:from>
    <xdr:to>
      <xdr:col>4</xdr:col>
      <xdr:colOff>38100</xdr:colOff>
      <xdr:row>73</xdr:row>
      <xdr:rowOff>114300</xdr:rowOff>
    </xdr:to>
    <xdr:sp macro="" textlink="">
      <xdr:nvSpPr>
        <xdr:cNvPr id="16" name="Line 15"/>
        <xdr:cNvSpPr>
          <a:spLocks noChangeShapeType="1"/>
        </xdr:cNvSpPr>
      </xdr:nvSpPr>
      <xdr:spPr bwMode="auto">
        <a:xfrm>
          <a:off x="2238375" y="13144500"/>
          <a:ext cx="76200" cy="76200"/>
        </a:xfrm>
        <a:prstGeom prst="line">
          <a:avLst/>
        </a:prstGeom>
        <a:noFill/>
        <a:ln w="9525">
          <a:solidFill>
            <a:srgbClr val="000000"/>
          </a:solidFill>
          <a:round/>
          <a:headEnd/>
          <a:tailEnd/>
        </a:ln>
      </xdr:spPr>
    </xdr:sp>
    <xdr:clientData/>
  </xdr:twoCellAnchor>
  <xdr:twoCellAnchor>
    <xdr:from>
      <xdr:col>4</xdr:col>
      <xdr:colOff>581025</xdr:colOff>
      <xdr:row>73</xdr:row>
      <xdr:rowOff>9525</xdr:rowOff>
    </xdr:from>
    <xdr:to>
      <xdr:col>5</xdr:col>
      <xdr:colOff>47625</xdr:colOff>
      <xdr:row>73</xdr:row>
      <xdr:rowOff>133350</xdr:rowOff>
    </xdr:to>
    <xdr:sp macro="" textlink="">
      <xdr:nvSpPr>
        <xdr:cNvPr id="17" name="Line 16"/>
        <xdr:cNvSpPr>
          <a:spLocks noChangeShapeType="1"/>
        </xdr:cNvSpPr>
      </xdr:nvSpPr>
      <xdr:spPr bwMode="auto">
        <a:xfrm flipV="1">
          <a:off x="2857500" y="13115925"/>
          <a:ext cx="76200" cy="123825"/>
        </a:xfrm>
        <a:prstGeom prst="line">
          <a:avLst/>
        </a:prstGeom>
        <a:noFill/>
        <a:ln w="9525">
          <a:solidFill>
            <a:srgbClr val="000000"/>
          </a:solidFill>
          <a:round/>
          <a:headEnd/>
          <a:tailEnd/>
        </a:ln>
      </xdr:spPr>
    </xdr:sp>
    <xdr:clientData/>
  </xdr:twoCellAnchor>
  <xdr:twoCellAnchor>
    <xdr:from>
      <xdr:col>54</xdr:col>
      <xdr:colOff>200025</xdr:colOff>
      <xdr:row>87</xdr:row>
      <xdr:rowOff>85725</xdr:rowOff>
    </xdr:from>
    <xdr:to>
      <xdr:col>54</xdr:col>
      <xdr:colOff>314325</xdr:colOff>
      <xdr:row>88</xdr:row>
      <xdr:rowOff>47625</xdr:rowOff>
    </xdr:to>
    <xdr:sp macro="" textlink="">
      <xdr:nvSpPr>
        <xdr:cNvPr id="18" name="Line 17"/>
        <xdr:cNvSpPr>
          <a:spLocks noChangeShapeType="1"/>
        </xdr:cNvSpPr>
      </xdr:nvSpPr>
      <xdr:spPr bwMode="auto">
        <a:xfrm>
          <a:off x="33442275" y="15459075"/>
          <a:ext cx="114300" cy="123825"/>
        </a:xfrm>
        <a:prstGeom prst="line">
          <a:avLst/>
        </a:prstGeom>
        <a:noFill/>
        <a:ln w="9525">
          <a:solidFill>
            <a:srgbClr val="000000"/>
          </a:solidFill>
          <a:round/>
          <a:headEnd/>
          <a:tailEnd/>
        </a:ln>
      </xdr:spPr>
    </xdr:sp>
    <xdr:clientData/>
  </xdr:twoCellAnchor>
  <xdr:twoCellAnchor>
    <xdr:from>
      <xdr:col>3</xdr:col>
      <xdr:colOff>581025</xdr:colOff>
      <xdr:row>73</xdr:row>
      <xdr:rowOff>19050</xdr:rowOff>
    </xdr:from>
    <xdr:to>
      <xdr:col>4</xdr:col>
      <xdr:colOff>47625</xdr:colOff>
      <xdr:row>73</xdr:row>
      <xdr:rowOff>104775</xdr:rowOff>
    </xdr:to>
    <xdr:sp macro="" textlink="">
      <xdr:nvSpPr>
        <xdr:cNvPr id="19" name="Line 18"/>
        <xdr:cNvSpPr>
          <a:spLocks noChangeShapeType="1"/>
        </xdr:cNvSpPr>
      </xdr:nvSpPr>
      <xdr:spPr bwMode="auto">
        <a:xfrm flipV="1">
          <a:off x="2247900" y="13125450"/>
          <a:ext cx="76200" cy="85725"/>
        </a:xfrm>
        <a:prstGeom prst="line">
          <a:avLst/>
        </a:prstGeom>
        <a:noFill/>
        <a:ln w="9525">
          <a:solidFill>
            <a:srgbClr val="000000"/>
          </a:solidFill>
          <a:round/>
          <a:headEnd/>
          <a:tailEnd/>
        </a:ln>
      </xdr:spPr>
    </xdr:sp>
    <xdr:clientData/>
  </xdr:twoCellAnchor>
  <xdr:twoCellAnchor>
    <xdr:from>
      <xdr:col>4</xdr:col>
      <xdr:colOff>552450</xdr:colOff>
      <xdr:row>73</xdr:row>
      <xdr:rowOff>38100</xdr:rowOff>
    </xdr:from>
    <xdr:to>
      <xdr:col>5</xdr:col>
      <xdr:colOff>85725</xdr:colOff>
      <xdr:row>73</xdr:row>
      <xdr:rowOff>133350</xdr:rowOff>
    </xdr:to>
    <xdr:sp macro="" textlink="">
      <xdr:nvSpPr>
        <xdr:cNvPr id="20" name="Line 19"/>
        <xdr:cNvSpPr>
          <a:spLocks noChangeShapeType="1"/>
        </xdr:cNvSpPr>
      </xdr:nvSpPr>
      <xdr:spPr bwMode="auto">
        <a:xfrm>
          <a:off x="2828925" y="13144500"/>
          <a:ext cx="142875" cy="95250"/>
        </a:xfrm>
        <a:prstGeom prst="line">
          <a:avLst/>
        </a:prstGeom>
        <a:noFill/>
        <a:ln w="9525">
          <a:solidFill>
            <a:srgbClr val="000000"/>
          </a:solidFill>
          <a:round/>
          <a:headEnd/>
          <a:tailEnd/>
        </a:ln>
      </xdr:spPr>
    </xdr:sp>
    <xdr:clientData/>
  </xdr:twoCellAnchor>
  <xdr:twoCellAnchor>
    <xdr:from>
      <xdr:col>2</xdr:col>
      <xdr:colOff>571500</xdr:colOff>
      <xdr:row>77</xdr:row>
      <xdr:rowOff>85725</xdr:rowOff>
    </xdr:from>
    <xdr:to>
      <xdr:col>3</xdr:col>
      <xdr:colOff>38100</xdr:colOff>
      <xdr:row>77</xdr:row>
      <xdr:rowOff>85725</xdr:rowOff>
    </xdr:to>
    <xdr:sp macro="" textlink="">
      <xdr:nvSpPr>
        <xdr:cNvPr id="21" name="Line 20"/>
        <xdr:cNvSpPr>
          <a:spLocks noChangeShapeType="1"/>
        </xdr:cNvSpPr>
      </xdr:nvSpPr>
      <xdr:spPr bwMode="auto">
        <a:xfrm>
          <a:off x="1628775" y="13839825"/>
          <a:ext cx="76200" cy="0"/>
        </a:xfrm>
        <a:prstGeom prst="line">
          <a:avLst/>
        </a:prstGeom>
        <a:noFill/>
        <a:ln w="9525">
          <a:solidFill>
            <a:srgbClr val="000000"/>
          </a:solidFill>
          <a:round/>
          <a:headEnd/>
          <a:tailEnd/>
        </a:ln>
      </xdr:spPr>
    </xdr:sp>
    <xdr:clientData/>
  </xdr:twoCellAnchor>
  <xdr:twoCellAnchor>
    <xdr:from>
      <xdr:col>3</xdr:col>
      <xdr:colOff>571500</xdr:colOff>
      <xdr:row>77</xdr:row>
      <xdr:rowOff>38100</xdr:rowOff>
    </xdr:from>
    <xdr:to>
      <xdr:col>4</xdr:col>
      <xdr:colOff>38100</xdr:colOff>
      <xdr:row>77</xdr:row>
      <xdr:rowOff>114300</xdr:rowOff>
    </xdr:to>
    <xdr:sp macro="" textlink="">
      <xdr:nvSpPr>
        <xdr:cNvPr id="22" name="Line 21"/>
        <xdr:cNvSpPr>
          <a:spLocks noChangeShapeType="1"/>
        </xdr:cNvSpPr>
      </xdr:nvSpPr>
      <xdr:spPr bwMode="auto">
        <a:xfrm>
          <a:off x="2238375" y="13792200"/>
          <a:ext cx="76200" cy="76200"/>
        </a:xfrm>
        <a:prstGeom prst="line">
          <a:avLst/>
        </a:prstGeom>
        <a:noFill/>
        <a:ln w="9525">
          <a:solidFill>
            <a:srgbClr val="000000"/>
          </a:solidFill>
          <a:round/>
          <a:headEnd/>
          <a:tailEnd/>
        </a:ln>
      </xdr:spPr>
    </xdr:sp>
    <xdr:clientData/>
  </xdr:twoCellAnchor>
  <xdr:twoCellAnchor>
    <xdr:from>
      <xdr:col>4</xdr:col>
      <xdr:colOff>581025</xdr:colOff>
      <xdr:row>77</xdr:row>
      <xdr:rowOff>9525</xdr:rowOff>
    </xdr:from>
    <xdr:to>
      <xdr:col>5</xdr:col>
      <xdr:colOff>47625</xdr:colOff>
      <xdr:row>77</xdr:row>
      <xdr:rowOff>133350</xdr:rowOff>
    </xdr:to>
    <xdr:sp macro="" textlink="">
      <xdr:nvSpPr>
        <xdr:cNvPr id="23" name="Line 22"/>
        <xdr:cNvSpPr>
          <a:spLocks noChangeShapeType="1"/>
        </xdr:cNvSpPr>
      </xdr:nvSpPr>
      <xdr:spPr bwMode="auto">
        <a:xfrm flipV="1">
          <a:off x="2857500" y="13763625"/>
          <a:ext cx="76200" cy="123825"/>
        </a:xfrm>
        <a:prstGeom prst="line">
          <a:avLst/>
        </a:prstGeom>
        <a:noFill/>
        <a:ln w="9525">
          <a:solidFill>
            <a:srgbClr val="000000"/>
          </a:solidFill>
          <a:round/>
          <a:headEnd/>
          <a:tailEnd/>
        </a:ln>
      </xdr:spPr>
    </xdr:sp>
    <xdr:clientData/>
  </xdr:twoCellAnchor>
  <xdr:twoCellAnchor>
    <xdr:from>
      <xdr:col>3</xdr:col>
      <xdr:colOff>581025</xdr:colOff>
      <xdr:row>77</xdr:row>
      <xdr:rowOff>19050</xdr:rowOff>
    </xdr:from>
    <xdr:to>
      <xdr:col>4</xdr:col>
      <xdr:colOff>47625</xdr:colOff>
      <xdr:row>77</xdr:row>
      <xdr:rowOff>104775</xdr:rowOff>
    </xdr:to>
    <xdr:sp macro="" textlink="">
      <xdr:nvSpPr>
        <xdr:cNvPr id="24" name="Line 23"/>
        <xdr:cNvSpPr>
          <a:spLocks noChangeShapeType="1"/>
        </xdr:cNvSpPr>
      </xdr:nvSpPr>
      <xdr:spPr bwMode="auto">
        <a:xfrm flipV="1">
          <a:off x="2247900" y="13773150"/>
          <a:ext cx="76200" cy="85725"/>
        </a:xfrm>
        <a:prstGeom prst="line">
          <a:avLst/>
        </a:prstGeom>
        <a:noFill/>
        <a:ln w="9525">
          <a:solidFill>
            <a:srgbClr val="000000"/>
          </a:solidFill>
          <a:round/>
          <a:headEnd/>
          <a:tailEnd/>
        </a:ln>
      </xdr:spPr>
    </xdr:sp>
    <xdr:clientData/>
  </xdr:twoCellAnchor>
  <xdr:twoCellAnchor>
    <xdr:from>
      <xdr:col>4</xdr:col>
      <xdr:colOff>552450</xdr:colOff>
      <xdr:row>77</xdr:row>
      <xdr:rowOff>38100</xdr:rowOff>
    </xdr:from>
    <xdr:to>
      <xdr:col>5</xdr:col>
      <xdr:colOff>85725</xdr:colOff>
      <xdr:row>77</xdr:row>
      <xdr:rowOff>133350</xdr:rowOff>
    </xdr:to>
    <xdr:sp macro="" textlink="">
      <xdr:nvSpPr>
        <xdr:cNvPr id="25" name="Line 24"/>
        <xdr:cNvSpPr>
          <a:spLocks noChangeShapeType="1"/>
        </xdr:cNvSpPr>
      </xdr:nvSpPr>
      <xdr:spPr bwMode="auto">
        <a:xfrm>
          <a:off x="2828925" y="13792200"/>
          <a:ext cx="142875" cy="95250"/>
        </a:xfrm>
        <a:prstGeom prst="line">
          <a:avLst/>
        </a:prstGeom>
        <a:noFill/>
        <a:ln w="9525">
          <a:solidFill>
            <a:srgbClr val="000000"/>
          </a:solidFill>
          <a:round/>
          <a:headEnd/>
          <a:tailEnd/>
        </a:ln>
      </xdr:spPr>
    </xdr:sp>
    <xdr:clientData/>
  </xdr:twoCellAnchor>
  <xdr:twoCellAnchor>
    <xdr:from>
      <xdr:col>4</xdr:col>
      <xdr:colOff>0</xdr:colOff>
      <xdr:row>23</xdr:row>
      <xdr:rowOff>19050</xdr:rowOff>
    </xdr:from>
    <xdr:to>
      <xdr:col>5</xdr:col>
      <xdr:colOff>9525</xdr:colOff>
      <xdr:row>25</xdr:row>
      <xdr:rowOff>9525</xdr:rowOff>
    </xdr:to>
    <xdr:sp macro="" textlink="">
      <xdr:nvSpPr>
        <xdr:cNvPr id="26" name="Rectangle 25"/>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27" name="Line 26"/>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28" name="Line 27"/>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xdr:col>
      <xdr:colOff>28575</xdr:colOff>
      <xdr:row>32</xdr:row>
      <xdr:rowOff>28575</xdr:rowOff>
    </xdr:from>
    <xdr:to>
      <xdr:col>4</xdr:col>
      <xdr:colOff>590550</xdr:colOff>
      <xdr:row>32</xdr:row>
      <xdr:rowOff>28575</xdr:rowOff>
    </xdr:to>
    <xdr:sp macro="" textlink="">
      <xdr:nvSpPr>
        <xdr:cNvPr id="29" name="Line 28"/>
        <xdr:cNvSpPr>
          <a:spLocks noChangeShapeType="1"/>
        </xdr:cNvSpPr>
      </xdr:nvSpPr>
      <xdr:spPr bwMode="auto">
        <a:xfrm>
          <a:off x="2305050" y="5238750"/>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30" name="Arc 29"/>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31" name="Arc 30"/>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32" name="Line 31"/>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33" name="Line 32"/>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34" name="Line 33"/>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35" name="Line 34"/>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36" name="Line 35"/>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37" name="Line 36"/>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38" name="Line 37"/>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4</xdr:col>
      <xdr:colOff>190500</xdr:colOff>
      <xdr:row>26</xdr:row>
      <xdr:rowOff>9525</xdr:rowOff>
    </xdr:from>
    <xdr:to>
      <xdr:col>4</xdr:col>
      <xdr:colOff>190500</xdr:colOff>
      <xdr:row>32</xdr:row>
      <xdr:rowOff>57150</xdr:rowOff>
    </xdr:to>
    <xdr:sp macro="" textlink="">
      <xdr:nvSpPr>
        <xdr:cNvPr id="39" name="Line 38"/>
        <xdr:cNvSpPr>
          <a:spLocks noChangeShapeType="1"/>
        </xdr:cNvSpPr>
      </xdr:nvSpPr>
      <xdr:spPr bwMode="auto">
        <a:xfrm>
          <a:off x="2466975" y="4248150"/>
          <a:ext cx="0" cy="1019175"/>
        </a:xfrm>
        <a:prstGeom prst="line">
          <a:avLst/>
        </a:prstGeom>
        <a:noFill/>
        <a:ln w="9525">
          <a:solidFill>
            <a:srgbClr val="000000"/>
          </a:solidFill>
          <a:round/>
          <a:headEnd/>
          <a:tailEnd/>
        </a:ln>
      </xdr:spPr>
    </xdr:sp>
    <xdr:clientData/>
  </xdr:twoCellAnchor>
  <xdr:twoCellAnchor>
    <xdr:from>
      <xdr:col>4</xdr:col>
      <xdr:colOff>428625</xdr:colOff>
      <xdr:row>26</xdr:row>
      <xdr:rowOff>19050</xdr:rowOff>
    </xdr:from>
    <xdr:to>
      <xdr:col>4</xdr:col>
      <xdr:colOff>428625</xdr:colOff>
      <xdr:row>32</xdr:row>
      <xdr:rowOff>47625</xdr:rowOff>
    </xdr:to>
    <xdr:sp macro="" textlink="">
      <xdr:nvSpPr>
        <xdr:cNvPr id="40" name="Line 39"/>
        <xdr:cNvSpPr>
          <a:spLocks noChangeShapeType="1"/>
        </xdr:cNvSpPr>
      </xdr:nvSpPr>
      <xdr:spPr bwMode="auto">
        <a:xfrm>
          <a:off x="2705100" y="4257675"/>
          <a:ext cx="0" cy="1000125"/>
        </a:xfrm>
        <a:prstGeom prst="line">
          <a:avLst/>
        </a:prstGeom>
        <a:noFill/>
        <a:ln w="9525">
          <a:solidFill>
            <a:srgbClr val="000000"/>
          </a:solidFill>
          <a:round/>
          <a:headEnd/>
          <a:tailEnd/>
        </a:ln>
      </xdr:spPr>
    </xdr:sp>
    <xdr:clientData/>
  </xdr:twoCellAnchor>
  <xdr:twoCellAnchor>
    <xdr:from>
      <xdr:col>4</xdr:col>
      <xdr:colOff>0</xdr:colOff>
      <xdr:row>23</xdr:row>
      <xdr:rowOff>19050</xdr:rowOff>
    </xdr:from>
    <xdr:to>
      <xdr:col>5</xdr:col>
      <xdr:colOff>9525</xdr:colOff>
      <xdr:row>25</xdr:row>
      <xdr:rowOff>9525</xdr:rowOff>
    </xdr:to>
    <xdr:sp macro="" textlink="">
      <xdr:nvSpPr>
        <xdr:cNvPr id="41" name="Rectangle 40"/>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42" name="Line 41"/>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43" name="Line 42"/>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xdr:col>
      <xdr:colOff>19050</xdr:colOff>
      <xdr:row>32</xdr:row>
      <xdr:rowOff>38100</xdr:rowOff>
    </xdr:from>
    <xdr:to>
      <xdr:col>4</xdr:col>
      <xdr:colOff>581025</xdr:colOff>
      <xdr:row>32</xdr:row>
      <xdr:rowOff>38100</xdr:rowOff>
    </xdr:to>
    <xdr:sp macro="" textlink="">
      <xdr:nvSpPr>
        <xdr:cNvPr id="44" name="Line 43"/>
        <xdr:cNvSpPr>
          <a:spLocks noChangeShapeType="1"/>
        </xdr:cNvSpPr>
      </xdr:nvSpPr>
      <xdr:spPr bwMode="auto">
        <a:xfrm>
          <a:off x="2295525" y="5248275"/>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45" name="Arc 44"/>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46" name="Arc 45"/>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47" name="Line 46"/>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48" name="Line 47"/>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49" name="Line 48"/>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50" name="Line 49"/>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51" name="Line 50"/>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52" name="Line 51"/>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53" name="Line 52"/>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2</xdr:col>
      <xdr:colOff>571500</xdr:colOff>
      <xdr:row>84</xdr:row>
      <xdr:rowOff>85725</xdr:rowOff>
    </xdr:from>
    <xdr:to>
      <xdr:col>3</xdr:col>
      <xdr:colOff>38100</xdr:colOff>
      <xdr:row>84</xdr:row>
      <xdr:rowOff>85725</xdr:rowOff>
    </xdr:to>
    <xdr:sp macro="" textlink="">
      <xdr:nvSpPr>
        <xdr:cNvPr id="54" name="Line 53"/>
        <xdr:cNvSpPr>
          <a:spLocks noChangeShapeType="1"/>
        </xdr:cNvSpPr>
      </xdr:nvSpPr>
      <xdr:spPr bwMode="auto">
        <a:xfrm>
          <a:off x="1628775" y="14973300"/>
          <a:ext cx="76200" cy="0"/>
        </a:xfrm>
        <a:prstGeom prst="line">
          <a:avLst/>
        </a:prstGeom>
        <a:noFill/>
        <a:ln w="9525">
          <a:solidFill>
            <a:srgbClr val="000000"/>
          </a:solidFill>
          <a:round/>
          <a:headEnd/>
          <a:tailEnd/>
        </a:ln>
      </xdr:spPr>
    </xdr:sp>
    <xdr:clientData/>
  </xdr:twoCellAnchor>
  <xdr:twoCellAnchor>
    <xdr:from>
      <xdr:col>3</xdr:col>
      <xdr:colOff>571500</xdr:colOff>
      <xdr:row>84</xdr:row>
      <xdr:rowOff>38100</xdr:rowOff>
    </xdr:from>
    <xdr:to>
      <xdr:col>4</xdr:col>
      <xdr:colOff>38100</xdr:colOff>
      <xdr:row>84</xdr:row>
      <xdr:rowOff>114300</xdr:rowOff>
    </xdr:to>
    <xdr:sp macro="" textlink="">
      <xdr:nvSpPr>
        <xdr:cNvPr id="55" name="Line 54"/>
        <xdr:cNvSpPr>
          <a:spLocks noChangeShapeType="1"/>
        </xdr:cNvSpPr>
      </xdr:nvSpPr>
      <xdr:spPr bwMode="auto">
        <a:xfrm>
          <a:off x="2238375" y="14925675"/>
          <a:ext cx="76200" cy="76200"/>
        </a:xfrm>
        <a:prstGeom prst="line">
          <a:avLst/>
        </a:prstGeom>
        <a:noFill/>
        <a:ln w="9525">
          <a:solidFill>
            <a:srgbClr val="000000"/>
          </a:solidFill>
          <a:round/>
          <a:headEnd/>
          <a:tailEnd/>
        </a:ln>
      </xdr:spPr>
    </xdr:sp>
    <xdr:clientData/>
  </xdr:twoCellAnchor>
  <xdr:twoCellAnchor>
    <xdr:from>
      <xdr:col>4</xdr:col>
      <xdr:colOff>581025</xdr:colOff>
      <xdr:row>84</xdr:row>
      <xdr:rowOff>9525</xdr:rowOff>
    </xdr:from>
    <xdr:to>
      <xdr:col>5</xdr:col>
      <xdr:colOff>47625</xdr:colOff>
      <xdr:row>84</xdr:row>
      <xdr:rowOff>133350</xdr:rowOff>
    </xdr:to>
    <xdr:sp macro="" textlink="">
      <xdr:nvSpPr>
        <xdr:cNvPr id="56" name="Line 55"/>
        <xdr:cNvSpPr>
          <a:spLocks noChangeShapeType="1"/>
        </xdr:cNvSpPr>
      </xdr:nvSpPr>
      <xdr:spPr bwMode="auto">
        <a:xfrm flipV="1">
          <a:off x="2857500" y="14897100"/>
          <a:ext cx="76200" cy="123825"/>
        </a:xfrm>
        <a:prstGeom prst="line">
          <a:avLst/>
        </a:prstGeom>
        <a:noFill/>
        <a:ln w="9525">
          <a:solidFill>
            <a:srgbClr val="000000"/>
          </a:solidFill>
          <a:round/>
          <a:headEnd/>
          <a:tailEnd/>
        </a:ln>
      </xdr:spPr>
    </xdr:sp>
    <xdr:clientData/>
  </xdr:twoCellAnchor>
  <xdr:twoCellAnchor>
    <xdr:from>
      <xdr:col>3</xdr:col>
      <xdr:colOff>581025</xdr:colOff>
      <xdr:row>84</xdr:row>
      <xdr:rowOff>19050</xdr:rowOff>
    </xdr:from>
    <xdr:to>
      <xdr:col>4</xdr:col>
      <xdr:colOff>47625</xdr:colOff>
      <xdr:row>84</xdr:row>
      <xdr:rowOff>104775</xdr:rowOff>
    </xdr:to>
    <xdr:sp macro="" textlink="">
      <xdr:nvSpPr>
        <xdr:cNvPr id="57" name="Line 56"/>
        <xdr:cNvSpPr>
          <a:spLocks noChangeShapeType="1"/>
        </xdr:cNvSpPr>
      </xdr:nvSpPr>
      <xdr:spPr bwMode="auto">
        <a:xfrm flipV="1">
          <a:off x="2247900" y="14906625"/>
          <a:ext cx="76200" cy="85725"/>
        </a:xfrm>
        <a:prstGeom prst="line">
          <a:avLst/>
        </a:prstGeom>
        <a:noFill/>
        <a:ln w="9525">
          <a:solidFill>
            <a:srgbClr val="000000"/>
          </a:solidFill>
          <a:round/>
          <a:headEnd/>
          <a:tailEnd/>
        </a:ln>
      </xdr:spPr>
    </xdr:sp>
    <xdr:clientData/>
  </xdr:twoCellAnchor>
  <xdr:twoCellAnchor>
    <xdr:from>
      <xdr:col>4</xdr:col>
      <xdr:colOff>552450</xdr:colOff>
      <xdr:row>84</xdr:row>
      <xdr:rowOff>38100</xdr:rowOff>
    </xdr:from>
    <xdr:to>
      <xdr:col>5</xdr:col>
      <xdr:colOff>85725</xdr:colOff>
      <xdr:row>84</xdr:row>
      <xdr:rowOff>133350</xdr:rowOff>
    </xdr:to>
    <xdr:sp macro="" textlink="">
      <xdr:nvSpPr>
        <xdr:cNvPr id="58" name="Line 57"/>
        <xdr:cNvSpPr>
          <a:spLocks noChangeShapeType="1"/>
        </xdr:cNvSpPr>
      </xdr:nvSpPr>
      <xdr:spPr bwMode="auto">
        <a:xfrm>
          <a:off x="2828925" y="14925675"/>
          <a:ext cx="142875" cy="95250"/>
        </a:xfrm>
        <a:prstGeom prst="line">
          <a:avLst/>
        </a:prstGeom>
        <a:noFill/>
        <a:ln w="9525">
          <a:solidFill>
            <a:srgbClr val="000000"/>
          </a:solidFill>
          <a:round/>
          <a:headEnd/>
          <a:tailEnd/>
        </a:ln>
      </xdr:spPr>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0</xdr:colOff>
      <xdr:row>10</xdr:row>
      <xdr:rowOff>142875</xdr:rowOff>
    </xdr:from>
    <xdr:to>
      <xdr:col>3</xdr:col>
      <xdr:colOff>0</xdr:colOff>
      <xdr:row>10</xdr:row>
      <xdr:rowOff>152400</xdr:rowOff>
    </xdr:to>
    <xdr:sp macro="" textlink="">
      <xdr:nvSpPr>
        <xdr:cNvPr id="2" name="Arc 9"/>
        <xdr:cNvSpPr>
          <a:spLocks/>
        </xdr:cNvSpPr>
      </xdr:nvSpPr>
      <xdr:spPr bwMode="auto">
        <a:xfrm>
          <a:off x="1724025" y="1790700"/>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4</xdr:col>
      <xdr:colOff>323850</xdr:colOff>
      <xdr:row>7</xdr:row>
      <xdr:rowOff>152400</xdr:rowOff>
    </xdr:from>
    <xdr:to>
      <xdr:col>4</xdr:col>
      <xdr:colOff>323850</xdr:colOff>
      <xdr:row>11</xdr:row>
      <xdr:rowOff>0</xdr:rowOff>
    </xdr:to>
    <xdr:sp macro="" textlink="">
      <xdr:nvSpPr>
        <xdr:cNvPr id="3" name="Line 14"/>
        <xdr:cNvSpPr>
          <a:spLocks noChangeShapeType="1"/>
        </xdr:cNvSpPr>
      </xdr:nvSpPr>
      <xdr:spPr bwMode="auto">
        <a:xfrm>
          <a:off x="2790825" y="1314450"/>
          <a:ext cx="0" cy="495300"/>
        </a:xfrm>
        <a:prstGeom prst="line">
          <a:avLst/>
        </a:prstGeom>
        <a:noFill/>
        <a:ln w="9525">
          <a:solidFill>
            <a:srgbClr val="000000"/>
          </a:solidFill>
          <a:round/>
          <a:headEnd/>
          <a:tailEnd/>
        </a:ln>
      </xdr:spPr>
    </xdr:sp>
    <xdr:clientData/>
  </xdr:twoCellAnchor>
  <xdr:twoCellAnchor>
    <xdr:from>
      <xdr:col>3</xdr:col>
      <xdr:colOff>171450</xdr:colOff>
      <xdr:row>18</xdr:row>
      <xdr:rowOff>95250</xdr:rowOff>
    </xdr:from>
    <xdr:to>
      <xdr:col>4</xdr:col>
      <xdr:colOff>352425</xdr:colOff>
      <xdr:row>18</xdr:row>
      <xdr:rowOff>95250</xdr:rowOff>
    </xdr:to>
    <xdr:sp macro="" textlink="">
      <xdr:nvSpPr>
        <xdr:cNvPr id="4" name="Line 16"/>
        <xdr:cNvSpPr>
          <a:spLocks noChangeShapeType="1"/>
        </xdr:cNvSpPr>
      </xdr:nvSpPr>
      <xdr:spPr bwMode="auto">
        <a:xfrm>
          <a:off x="1895475" y="3038475"/>
          <a:ext cx="923925" cy="0"/>
        </a:xfrm>
        <a:prstGeom prst="line">
          <a:avLst/>
        </a:prstGeom>
        <a:noFill/>
        <a:ln w="9525">
          <a:solidFill>
            <a:srgbClr val="000000"/>
          </a:solidFill>
          <a:round/>
          <a:headEnd/>
          <a:tailEnd/>
        </a:ln>
      </xdr:spPr>
    </xdr:sp>
    <xdr:clientData/>
  </xdr:twoCellAnchor>
  <xdr:twoCellAnchor>
    <xdr:from>
      <xdr:col>5</xdr:col>
      <xdr:colOff>76200</xdr:colOff>
      <xdr:row>18</xdr:row>
      <xdr:rowOff>104775</xdr:rowOff>
    </xdr:from>
    <xdr:to>
      <xdr:col>5</xdr:col>
      <xdr:colOff>419100</xdr:colOff>
      <xdr:row>18</xdr:row>
      <xdr:rowOff>104775</xdr:rowOff>
    </xdr:to>
    <xdr:sp macro="" textlink="">
      <xdr:nvSpPr>
        <xdr:cNvPr id="5" name="Line 17"/>
        <xdr:cNvSpPr>
          <a:spLocks noChangeShapeType="1"/>
        </xdr:cNvSpPr>
      </xdr:nvSpPr>
      <xdr:spPr bwMode="auto">
        <a:xfrm flipH="1">
          <a:off x="3057525" y="3048000"/>
          <a:ext cx="342900" cy="0"/>
        </a:xfrm>
        <a:prstGeom prst="line">
          <a:avLst/>
        </a:prstGeom>
        <a:noFill/>
        <a:ln w="9525">
          <a:solidFill>
            <a:srgbClr val="000000"/>
          </a:solidFill>
          <a:round/>
          <a:headEnd/>
          <a:tailEnd/>
        </a:ln>
      </xdr:spPr>
    </xdr:sp>
    <xdr:clientData/>
  </xdr:twoCellAnchor>
  <xdr:twoCellAnchor>
    <xdr:from>
      <xdr:col>1</xdr:col>
      <xdr:colOff>152400</xdr:colOff>
      <xdr:row>14</xdr:row>
      <xdr:rowOff>76200</xdr:rowOff>
    </xdr:from>
    <xdr:to>
      <xdr:col>2</xdr:col>
      <xdr:colOff>600075</xdr:colOff>
      <xdr:row>14</xdr:row>
      <xdr:rowOff>76200</xdr:rowOff>
    </xdr:to>
    <xdr:sp macro="" textlink="">
      <xdr:nvSpPr>
        <xdr:cNvPr id="6" name="Line 18"/>
        <xdr:cNvSpPr>
          <a:spLocks noChangeShapeType="1"/>
        </xdr:cNvSpPr>
      </xdr:nvSpPr>
      <xdr:spPr bwMode="auto">
        <a:xfrm>
          <a:off x="495300" y="2371725"/>
          <a:ext cx="1152525" cy="0"/>
        </a:xfrm>
        <a:prstGeom prst="line">
          <a:avLst/>
        </a:prstGeom>
        <a:noFill/>
        <a:ln w="9525">
          <a:solidFill>
            <a:srgbClr val="000000"/>
          </a:solidFill>
          <a:round/>
          <a:headEnd/>
          <a:tailEnd/>
        </a:ln>
      </xdr:spPr>
    </xdr:sp>
    <xdr:clientData/>
  </xdr:twoCellAnchor>
  <xdr:twoCellAnchor>
    <xdr:from>
      <xdr:col>4</xdr:col>
      <xdr:colOff>295275</xdr:colOff>
      <xdr:row>10</xdr:row>
      <xdr:rowOff>114300</xdr:rowOff>
    </xdr:from>
    <xdr:to>
      <xdr:col>4</xdr:col>
      <xdr:colOff>400050</xdr:colOff>
      <xdr:row>11</xdr:row>
      <xdr:rowOff>28575</xdr:rowOff>
    </xdr:to>
    <xdr:sp macro="" textlink="">
      <xdr:nvSpPr>
        <xdr:cNvPr id="7" name="Line 20"/>
        <xdr:cNvSpPr>
          <a:spLocks noChangeShapeType="1"/>
        </xdr:cNvSpPr>
      </xdr:nvSpPr>
      <xdr:spPr bwMode="auto">
        <a:xfrm flipV="1">
          <a:off x="2762250" y="1762125"/>
          <a:ext cx="104775" cy="76200"/>
        </a:xfrm>
        <a:prstGeom prst="line">
          <a:avLst/>
        </a:prstGeom>
        <a:noFill/>
        <a:ln w="9525">
          <a:solidFill>
            <a:srgbClr val="000000"/>
          </a:solidFill>
          <a:round/>
          <a:headEnd/>
          <a:tailEnd/>
        </a:ln>
      </xdr:spPr>
    </xdr:sp>
    <xdr:clientData/>
  </xdr:twoCellAnchor>
  <xdr:twoCellAnchor>
    <xdr:from>
      <xdr:col>4</xdr:col>
      <xdr:colOff>285750</xdr:colOff>
      <xdr:row>7</xdr:row>
      <xdr:rowOff>114300</xdr:rowOff>
    </xdr:from>
    <xdr:to>
      <xdr:col>4</xdr:col>
      <xdr:colOff>371475</xdr:colOff>
      <xdr:row>8</xdr:row>
      <xdr:rowOff>19050</xdr:rowOff>
    </xdr:to>
    <xdr:sp macro="" textlink="">
      <xdr:nvSpPr>
        <xdr:cNvPr id="8" name="Line 21"/>
        <xdr:cNvSpPr>
          <a:spLocks noChangeShapeType="1"/>
        </xdr:cNvSpPr>
      </xdr:nvSpPr>
      <xdr:spPr bwMode="auto">
        <a:xfrm flipV="1">
          <a:off x="2752725" y="1276350"/>
          <a:ext cx="85725" cy="66675"/>
        </a:xfrm>
        <a:prstGeom prst="line">
          <a:avLst/>
        </a:prstGeom>
        <a:noFill/>
        <a:ln w="9525">
          <a:solidFill>
            <a:srgbClr val="000000"/>
          </a:solidFill>
          <a:round/>
          <a:headEnd/>
          <a:tailEnd/>
        </a:ln>
      </xdr:spPr>
    </xdr:sp>
    <xdr:clientData/>
  </xdr:twoCellAnchor>
  <xdr:twoCellAnchor>
    <xdr:from>
      <xdr:col>3</xdr:col>
      <xdr:colOff>133350</xdr:colOff>
      <xdr:row>18</xdr:row>
      <xdr:rowOff>47625</xdr:rowOff>
    </xdr:from>
    <xdr:to>
      <xdr:col>3</xdr:col>
      <xdr:colOff>228600</xdr:colOff>
      <xdr:row>18</xdr:row>
      <xdr:rowOff>123825</xdr:rowOff>
    </xdr:to>
    <xdr:sp macro="" textlink="">
      <xdr:nvSpPr>
        <xdr:cNvPr id="9" name="Line 22"/>
        <xdr:cNvSpPr>
          <a:spLocks noChangeShapeType="1"/>
        </xdr:cNvSpPr>
      </xdr:nvSpPr>
      <xdr:spPr bwMode="auto">
        <a:xfrm flipV="1">
          <a:off x="1857375" y="2990850"/>
          <a:ext cx="95250" cy="76200"/>
        </a:xfrm>
        <a:prstGeom prst="line">
          <a:avLst/>
        </a:prstGeom>
        <a:noFill/>
        <a:ln w="9525">
          <a:solidFill>
            <a:srgbClr val="000000"/>
          </a:solidFill>
          <a:round/>
          <a:headEnd/>
          <a:tailEnd/>
        </a:ln>
      </xdr:spPr>
    </xdr:sp>
    <xdr:clientData/>
  </xdr:twoCellAnchor>
  <xdr:twoCellAnchor>
    <xdr:from>
      <xdr:col>5</xdr:col>
      <xdr:colOff>571500</xdr:colOff>
      <xdr:row>18</xdr:row>
      <xdr:rowOff>47625</xdr:rowOff>
    </xdr:from>
    <xdr:to>
      <xdr:col>6</xdr:col>
      <xdr:colOff>47625</xdr:colOff>
      <xdr:row>18</xdr:row>
      <xdr:rowOff>142875</xdr:rowOff>
    </xdr:to>
    <xdr:sp macro="" textlink="">
      <xdr:nvSpPr>
        <xdr:cNvPr id="10" name="Line 23"/>
        <xdr:cNvSpPr>
          <a:spLocks noChangeShapeType="1"/>
        </xdr:cNvSpPr>
      </xdr:nvSpPr>
      <xdr:spPr bwMode="auto">
        <a:xfrm flipV="1">
          <a:off x="3533775" y="2990850"/>
          <a:ext cx="47625" cy="95250"/>
        </a:xfrm>
        <a:prstGeom prst="line">
          <a:avLst/>
        </a:prstGeom>
        <a:noFill/>
        <a:ln w="9525">
          <a:solidFill>
            <a:srgbClr val="000000"/>
          </a:solidFill>
          <a:round/>
          <a:headEnd/>
          <a:tailEnd/>
        </a:ln>
      </xdr:spPr>
    </xdr:sp>
    <xdr:clientData/>
  </xdr:twoCellAnchor>
  <xdr:twoCellAnchor>
    <xdr:from>
      <xdr:col>2</xdr:col>
      <xdr:colOff>28575</xdr:colOff>
      <xdr:row>14</xdr:row>
      <xdr:rowOff>85725</xdr:rowOff>
    </xdr:from>
    <xdr:to>
      <xdr:col>2</xdr:col>
      <xdr:colOff>104775</xdr:colOff>
      <xdr:row>15</xdr:row>
      <xdr:rowOff>9525</xdr:rowOff>
    </xdr:to>
    <xdr:sp macro="" textlink="">
      <xdr:nvSpPr>
        <xdr:cNvPr id="11" name="Line 28"/>
        <xdr:cNvSpPr>
          <a:spLocks noChangeShapeType="1"/>
        </xdr:cNvSpPr>
      </xdr:nvSpPr>
      <xdr:spPr bwMode="auto">
        <a:xfrm flipH="1">
          <a:off x="1076325" y="2381250"/>
          <a:ext cx="76200" cy="85725"/>
        </a:xfrm>
        <a:prstGeom prst="line">
          <a:avLst/>
        </a:prstGeom>
        <a:noFill/>
        <a:ln w="9525">
          <a:solidFill>
            <a:srgbClr val="000000"/>
          </a:solidFill>
          <a:round/>
          <a:headEnd/>
          <a:tailEnd/>
        </a:ln>
      </xdr:spPr>
    </xdr:sp>
    <xdr:clientData/>
  </xdr:twoCellAnchor>
  <xdr:twoCellAnchor>
    <xdr:from>
      <xdr:col>2</xdr:col>
      <xdr:colOff>171450</xdr:colOff>
      <xdr:row>14</xdr:row>
      <xdr:rowOff>85725</xdr:rowOff>
    </xdr:from>
    <xdr:to>
      <xdr:col>2</xdr:col>
      <xdr:colOff>247650</xdr:colOff>
      <xdr:row>15</xdr:row>
      <xdr:rowOff>57150</xdr:rowOff>
    </xdr:to>
    <xdr:sp macro="" textlink="">
      <xdr:nvSpPr>
        <xdr:cNvPr id="12" name="Line 29"/>
        <xdr:cNvSpPr>
          <a:spLocks noChangeShapeType="1"/>
        </xdr:cNvSpPr>
      </xdr:nvSpPr>
      <xdr:spPr bwMode="auto">
        <a:xfrm flipH="1">
          <a:off x="1219200" y="2381250"/>
          <a:ext cx="76200" cy="133350"/>
        </a:xfrm>
        <a:prstGeom prst="line">
          <a:avLst/>
        </a:prstGeom>
        <a:noFill/>
        <a:ln w="9525">
          <a:solidFill>
            <a:srgbClr val="000000"/>
          </a:solidFill>
          <a:round/>
          <a:headEnd/>
          <a:tailEnd/>
        </a:ln>
      </xdr:spPr>
    </xdr:sp>
    <xdr:clientData/>
  </xdr:twoCellAnchor>
  <xdr:twoCellAnchor>
    <xdr:from>
      <xdr:col>2</xdr:col>
      <xdr:colOff>352425</xdr:colOff>
      <xdr:row>14</xdr:row>
      <xdr:rowOff>85725</xdr:rowOff>
    </xdr:from>
    <xdr:to>
      <xdr:col>2</xdr:col>
      <xdr:colOff>409575</xdr:colOff>
      <xdr:row>15</xdr:row>
      <xdr:rowOff>66675</xdr:rowOff>
    </xdr:to>
    <xdr:sp macro="" textlink="">
      <xdr:nvSpPr>
        <xdr:cNvPr id="13" name="Line 30"/>
        <xdr:cNvSpPr>
          <a:spLocks noChangeShapeType="1"/>
        </xdr:cNvSpPr>
      </xdr:nvSpPr>
      <xdr:spPr bwMode="auto">
        <a:xfrm flipH="1">
          <a:off x="1400175" y="2381250"/>
          <a:ext cx="57150" cy="142875"/>
        </a:xfrm>
        <a:prstGeom prst="line">
          <a:avLst/>
        </a:prstGeom>
        <a:noFill/>
        <a:ln w="9525">
          <a:solidFill>
            <a:srgbClr val="000000"/>
          </a:solidFill>
          <a:round/>
          <a:headEnd/>
          <a:tailEnd/>
        </a:ln>
      </xdr:spPr>
    </xdr:sp>
    <xdr:clientData/>
  </xdr:twoCellAnchor>
  <xdr:twoCellAnchor>
    <xdr:from>
      <xdr:col>1</xdr:col>
      <xdr:colOff>457200</xdr:colOff>
      <xdr:row>14</xdr:row>
      <xdr:rowOff>76200</xdr:rowOff>
    </xdr:from>
    <xdr:to>
      <xdr:col>1</xdr:col>
      <xdr:colOff>561975</xdr:colOff>
      <xdr:row>15</xdr:row>
      <xdr:rowOff>47625</xdr:rowOff>
    </xdr:to>
    <xdr:sp macro="" textlink="">
      <xdr:nvSpPr>
        <xdr:cNvPr id="14" name="Line 31"/>
        <xdr:cNvSpPr>
          <a:spLocks noChangeShapeType="1"/>
        </xdr:cNvSpPr>
      </xdr:nvSpPr>
      <xdr:spPr bwMode="auto">
        <a:xfrm flipH="1">
          <a:off x="800100" y="2371725"/>
          <a:ext cx="104775" cy="133350"/>
        </a:xfrm>
        <a:prstGeom prst="line">
          <a:avLst/>
        </a:prstGeom>
        <a:noFill/>
        <a:ln w="9525">
          <a:solidFill>
            <a:srgbClr val="000000"/>
          </a:solidFill>
          <a:round/>
          <a:headEnd/>
          <a:tailEnd/>
        </a:ln>
      </xdr:spPr>
    </xdr:sp>
    <xdr:clientData/>
  </xdr:twoCellAnchor>
  <xdr:twoCellAnchor>
    <xdr:from>
      <xdr:col>1</xdr:col>
      <xdr:colOff>247650</xdr:colOff>
      <xdr:row>14</xdr:row>
      <xdr:rowOff>85725</xdr:rowOff>
    </xdr:from>
    <xdr:to>
      <xdr:col>1</xdr:col>
      <xdr:colOff>352425</xdr:colOff>
      <xdr:row>15</xdr:row>
      <xdr:rowOff>104775</xdr:rowOff>
    </xdr:to>
    <xdr:sp macro="" textlink="">
      <xdr:nvSpPr>
        <xdr:cNvPr id="15" name="Line 32"/>
        <xdr:cNvSpPr>
          <a:spLocks noChangeShapeType="1"/>
        </xdr:cNvSpPr>
      </xdr:nvSpPr>
      <xdr:spPr bwMode="auto">
        <a:xfrm flipH="1">
          <a:off x="590550" y="2381250"/>
          <a:ext cx="104775" cy="180975"/>
        </a:xfrm>
        <a:prstGeom prst="line">
          <a:avLst/>
        </a:prstGeom>
        <a:noFill/>
        <a:ln w="9525">
          <a:solidFill>
            <a:srgbClr val="000000"/>
          </a:solidFill>
          <a:round/>
          <a:headEnd/>
          <a:tailEnd/>
        </a:ln>
      </xdr:spPr>
    </xdr:sp>
    <xdr:clientData/>
  </xdr:twoCellAnchor>
  <xdr:twoCellAnchor>
    <xdr:from>
      <xdr:col>1</xdr:col>
      <xdr:colOff>590550</xdr:colOff>
      <xdr:row>15</xdr:row>
      <xdr:rowOff>9525</xdr:rowOff>
    </xdr:from>
    <xdr:to>
      <xdr:col>2</xdr:col>
      <xdr:colOff>47625</xdr:colOff>
      <xdr:row>15</xdr:row>
      <xdr:rowOff>95250</xdr:rowOff>
    </xdr:to>
    <xdr:sp macro="" textlink="">
      <xdr:nvSpPr>
        <xdr:cNvPr id="16" name="Line 33"/>
        <xdr:cNvSpPr>
          <a:spLocks noChangeShapeType="1"/>
        </xdr:cNvSpPr>
      </xdr:nvSpPr>
      <xdr:spPr bwMode="auto">
        <a:xfrm flipH="1">
          <a:off x="933450" y="2466975"/>
          <a:ext cx="161925" cy="85725"/>
        </a:xfrm>
        <a:prstGeom prst="line">
          <a:avLst/>
        </a:prstGeom>
        <a:noFill/>
        <a:ln w="9525">
          <a:solidFill>
            <a:srgbClr val="000000"/>
          </a:solidFill>
          <a:round/>
          <a:headEnd/>
          <a:tailEnd/>
        </a:ln>
      </xdr:spPr>
    </xdr:sp>
    <xdr:clientData/>
  </xdr:twoCellAnchor>
  <xdr:twoCellAnchor>
    <xdr:from>
      <xdr:col>1</xdr:col>
      <xdr:colOff>428625</xdr:colOff>
      <xdr:row>15</xdr:row>
      <xdr:rowOff>28575</xdr:rowOff>
    </xdr:from>
    <xdr:to>
      <xdr:col>1</xdr:col>
      <xdr:colOff>476250</xdr:colOff>
      <xdr:row>15</xdr:row>
      <xdr:rowOff>76200</xdr:rowOff>
    </xdr:to>
    <xdr:sp macro="" textlink="">
      <xdr:nvSpPr>
        <xdr:cNvPr id="17" name="Line 34"/>
        <xdr:cNvSpPr>
          <a:spLocks noChangeShapeType="1"/>
        </xdr:cNvSpPr>
      </xdr:nvSpPr>
      <xdr:spPr bwMode="auto">
        <a:xfrm flipH="1">
          <a:off x="771525" y="2486025"/>
          <a:ext cx="47625" cy="47625"/>
        </a:xfrm>
        <a:prstGeom prst="line">
          <a:avLst/>
        </a:prstGeom>
        <a:noFill/>
        <a:ln w="9525">
          <a:solidFill>
            <a:srgbClr val="000000"/>
          </a:solidFill>
          <a:round/>
          <a:headEnd/>
          <a:tailEnd/>
        </a:ln>
      </xdr:spPr>
    </xdr:sp>
    <xdr:clientData/>
  </xdr:twoCellAnchor>
  <xdr:twoCellAnchor>
    <xdr:from>
      <xdr:col>2</xdr:col>
      <xdr:colOff>161925</xdr:colOff>
      <xdr:row>15</xdr:row>
      <xdr:rowOff>28575</xdr:rowOff>
    </xdr:from>
    <xdr:to>
      <xdr:col>2</xdr:col>
      <xdr:colOff>190500</xdr:colOff>
      <xdr:row>15</xdr:row>
      <xdr:rowOff>85725</xdr:rowOff>
    </xdr:to>
    <xdr:sp macro="" textlink="">
      <xdr:nvSpPr>
        <xdr:cNvPr id="18" name="Line 35"/>
        <xdr:cNvSpPr>
          <a:spLocks noChangeShapeType="1"/>
        </xdr:cNvSpPr>
      </xdr:nvSpPr>
      <xdr:spPr bwMode="auto">
        <a:xfrm flipH="1">
          <a:off x="1209675" y="2486025"/>
          <a:ext cx="28575" cy="57150"/>
        </a:xfrm>
        <a:prstGeom prst="line">
          <a:avLst/>
        </a:prstGeom>
        <a:noFill/>
        <a:ln w="9525">
          <a:solidFill>
            <a:srgbClr val="000000"/>
          </a:solidFill>
          <a:round/>
          <a:headEnd/>
          <a:tailEnd/>
        </a:ln>
      </xdr:spPr>
    </xdr:sp>
    <xdr:clientData/>
  </xdr:twoCellAnchor>
  <xdr:twoCellAnchor>
    <xdr:from>
      <xdr:col>1</xdr:col>
      <xdr:colOff>342900</xdr:colOff>
      <xdr:row>14</xdr:row>
      <xdr:rowOff>85725</xdr:rowOff>
    </xdr:from>
    <xdr:to>
      <xdr:col>1</xdr:col>
      <xdr:colOff>523875</xdr:colOff>
      <xdr:row>15</xdr:row>
      <xdr:rowOff>142875</xdr:rowOff>
    </xdr:to>
    <xdr:sp macro="" textlink="">
      <xdr:nvSpPr>
        <xdr:cNvPr id="19" name="Line 38"/>
        <xdr:cNvSpPr>
          <a:spLocks noChangeShapeType="1"/>
        </xdr:cNvSpPr>
      </xdr:nvSpPr>
      <xdr:spPr bwMode="auto">
        <a:xfrm>
          <a:off x="685800" y="2381250"/>
          <a:ext cx="180975" cy="219075"/>
        </a:xfrm>
        <a:prstGeom prst="line">
          <a:avLst/>
        </a:prstGeom>
        <a:noFill/>
        <a:ln w="9525">
          <a:solidFill>
            <a:srgbClr val="000000"/>
          </a:solidFill>
          <a:round/>
          <a:headEnd/>
          <a:tailEnd/>
        </a:ln>
      </xdr:spPr>
    </xdr:sp>
    <xdr:clientData/>
  </xdr:twoCellAnchor>
  <xdr:twoCellAnchor>
    <xdr:from>
      <xdr:col>1</xdr:col>
      <xdr:colOff>561975</xdr:colOff>
      <xdr:row>14</xdr:row>
      <xdr:rowOff>95250</xdr:rowOff>
    </xdr:from>
    <xdr:to>
      <xdr:col>2</xdr:col>
      <xdr:colOff>152400</xdr:colOff>
      <xdr:row>15</xdr:row>
      <xdr:rowOff>114300</xdr:rowOff>
    </xdr:to>
    <xdr:sp macro="" textlink="">
      <xdr:nvSpPr>
        <xdr:cNvPr id="20" name="Line 39"/>
        <xdr:cNvSpPr>
          <a:spLocks noChangeShapeType="1"/>
        </xdr:cNvSpPr>
      </xdr:nvSpPr>
      <xdr:spPr bwMode="auto">
        <a:xfrm>
          <a:off x="904875" y="2390775"/>
          <a:ext cx="295275" cy="180975"/>
        </a:xfrm>
        <a:prstGeom prst="line">
          <a:avLst/>
        </a:prstGeom>
        <a:noFill/>
        <a:ln w="9525">
          <a:solidFill>
            <a:srgbClr val="000000"/>
          </a:solidFill>
          <a:round/>
          <a:headEnd/>
          <a:tailEnd/>
        </a:ln>
      </xdr:spPr>
    </xdr:sp>
    <xdr:clientData/>
  </xdr:twoCellAnchor>
  <xdr:twoCellAnchor>
    <xdr:from>
      <xdr:col>2</xdr:col>
      <xdr:colOff>247650</xdr:colOff>
      <xdr:row>14</xdr:row>
      <xdr:rowOff>85725</xdr:rowOff>
    </xdr:from>
    <xdr:to>
      <xdr:col>2</xdr:col>
      <xdr:colOff>438150</xdr:colOff>
      <xdr:row>15</xdr:row>
      <xdr:rowOff>95250</xdr:rowOff>
    </xdr:to>
    <xdr:sp macro="" textlink="">
      <xdr:nvSpPr>
        <xdr:cNvPr id="21" name="Line 40"/>
        <xdr:cNvSpPr>
          <a:spLocks noChangeShapeType="1"/>
        </xdr:cNvSpPr>
      </xdr:nvSpPr>
      <xdr:spPr bwMode="auto">
        <a:xfrm>
          <a:off x="1295400" y="2381250"/>
          <a:ext cx="190500" cy="171450"/>
        </a:xfrm>
        <a:prstGeom prst="line">
          <a:avLst/>
        </a:prstGeom>
        <a:noFill/>
        <a:ln w="9525">
          <a:solidFill>
            <a:srgbClr val="000000"/>
          </a:solidFill>
          <a:round/>
          <a:headEnd/>
          <a:tailEnd/>
        </a:ln>
      </xdr:spPr>
    </xdr:sp>
    <xdr:clientData/>
  </xdr:twoCellAnchor>
  <xdr:twoCellAnchor>
    <xdr:from>
      <xdr:col>2</xdr:col>
      <xdr:colOff>104775</xdr:colOff>
      <xdr:row>14</xdr:row>
      <xdr:rowOff>95250</xdr:rowOff>
    </xdr:from>
    <xdr:to>
      <xdr:col>2</xdr:col>
      <xdr:colOff>266700</xdr:colOff>
      <xdr:row>15</xdr:row>
      <xdr:rowOff>85725</xdr:rowOff>
    </xdr:to>
    <xdr:sp macro="" textlink="">
      <xdr:nvSpPr>
        <xdr:cNvPr id="22" name="Line 41"/>
        <xdr:cNvSpPr>
          <a:spLocks noChangeShapeType="1"/>
        </xdr:cNvSpPr>
      </xdr:nvSpPr>
      <xdr:spPr bwMode="auto">
        <a:xfrm>
          <a:off x="1152525" y="2390775"/>
          <a:ext cx="161925" cy="152400"/>
        </a:xfrm>
        <a:prstGeom prst="line">
          <a:avLst/>
        </a:prstGeom>
        <a:noFill/>
        <a:ln w="9525">
          <a:solidFill>
            <a:srgbClr val="000000"/>
          </a:solidFill>
          <a:round/>
          <a:headEnd/>
          <a:tailEnd/>
        </a:ln>
      </xdr:spPr>
    </xdr:sp>
    <xdr:clientData/>
  </xdr:twoCellAnchor>
  <xdr:twoCellAnchor>
    <xdr:from>
      <xdr:col>2</xdr:col>
      <xdr:colOff>371475</xdr:colOff>
      <xdr:row>11</xdr:row>
      <xdr:rowOff>19050</xdr:rowOff>
    </xdr:from>
    <xdr:to>
      <xdr:col>2</xdr:col>
      <xdr:colOff>371475</xdr:colOff>
      <xdr:row>11</xdr:row>
      <xdr:rowOff>38100</xdr:rowOff>
    </xdr:to>
    <xdr:sp macro="" textlink="">
      <xdr:nvSpPr>
        <xdr:cNvPr id="23" name="Line 45"/>
        <xdr:cNvSpPr>
          <a:spLocks noChangeShapeType="1"/>
        </xdr:cNvSpPr>
      </xdr:nvSpPr>
      <xdr:spPr bwMode="auto">
        <a:xfrm>
          <a:off x="1419225" y="1828800"/>
          <a:ext cx="0" cy="19050"/>
        </a:xfrm>
        <a:prstGeom prst="line">
          <a:avLst/>
        </a:prstGeom>
        <a:noFill/>
        <a:ln w="9525">
          <a:solidFill>
            <a:srgbClr val="000000"/>
          </a:solidFill>
          <a:round/>
          <a:headEnd/>
          <a:tailEnd/>
        </a:ln>
      </xdr:spPr>
    </xdr:sp>
    <xdr:clientData/>
  </xdr:twoCellAnchor>
  <xdr:twoCellAnchor>
    <xdr:from>
      <xdr:col>2</xdr:col>
      <xdr:colOff>371475</xdr:colOff>
      <xdr:row>11</xdr:row>
      <xdr:rowOff>9525</xdr:rowOff>
    </xdr:from>
    <xdr:to>
      <xdr:col>2</xdr:col>
      <xdr:colOff>381000</xdr:colOff>
      <xdr:row>11</xdr:row>
      <xdr:rowOff>38100</xdr:rowOff>
    </xdr:to>
    <xdr:sp macro="" textlink="">
      <xdr:nvSpPr>
        <xdr:cNvPr id="24" name="Line 46"/>
        <xdr:cNvSpPr>
          <a:spLocks noChangeShapeType="1"/>
        </xdr:cNvSpPr>
      </xdr:nvSpPr>
      <xdr:spPr bwMode="auto">
        <a:xfrm>
          <a:off x="1419225" y="1819275"/>
          <a:ext cx="9525" cy="28575"/>
        </a:xfrm>
        <a:prstGeom prst="line">
          <a:avLst/>
        </a:prstGeom>
        <a:noFill/>
        <a:ln w="9525">
          <a:solidFill>
            <a:srgbClr val="000000"/>
          </a:solidFill>
          <a:round/>
          <a:headEnd/>
          <a:tailEnd/>
        </a:ln>
      </xdr:spPr>
    </xdr:sp>
    <xdr:clientData/>
  </xdr:twoCellAnchor>
  <xdr:twoCellAnchor>
    <xdr:from>
      <xdr:col>2</xdr:col>
      <xdr:colOff>371475</xdr:colOff>
      <xdr:row>10</xdr:row>
      <xdr:rowOff>152400</xdr:rowOff>
    </xdr:from>
    <xdr:to>
      <xdr:col>2</xdr:col>
      <xdr:colOff>381000</xdr:colOff>
      <xdr:row>11</xdr:row>
      <xdr:rowOff>28575</xdr:rowOff>
    </xdr:to>
    <xdr:sp macro="" textlink="">
      <xdr:nvSpPr>
        <xdr:cNvPr id="25" name="Line 47"/>
        <xdr:cNvSpPr>
          <a:spLocks noChangeShapeType="1"/>
        </xdr:cNvSpPr>
      </xdr:nvSpPr>
      <xdr:spPr bwMode="auto">
        <a:xfrm>
          <a:off x="1419225" y="1800225"/>
          <a:ext cx="9525" cy="38100"/>
        </a:xfrm>
        <a:prstGeom prst="line">
          <a:avLst/>
        </a:prstGeom>
        <a:noFill/>
        <a:ln w="9525">
          <a:solidFill>
            <a:srgbClr val="000000"/>
          </a:solidFill>
          <a:round/>
          <a:headEnd/>
          <a:tailEnd/>
        </a:ln>
      </xdr:spPr>
    </xdr:sp>
    <xdr:clientData/>
  </xdr:twoCellAnchor>
  <xdr:twoCellAnchor>
    <xdr:from>
      <xdr:col>2</xdr:col>
      <xdr:colOff>361950</xdr:colOff>
      <xdr:row>10</xdr:row>
      <xdr:rowOff>142875</xdr:rowOff>
    </xdr:from>
    <xdr:to>
      <xdr:col>2</xdr:col>
      <xdr:colOff>361950</xdr:colOff>
      <xdr:row>12</xdr:row>
      <xdr:rowOff>47625</xdr:rowOff>
    </xdr:to>
    <xdr:sp macro="" textlink="">
      <xdr:nvSpPr>
        <xdr:cNvPr id="26" name="Line 48"/>
        <xdr:cNvSpPr>
          <a:spLocks noChangeShapeType="1"/>
        </xdr:cNvSpPr>
      </xdr:nvSpPr>
      <xdr:spPr bwMode="auto">
        <a:xfrm>
          <a:off x="1409700" y="1790700"/>
          <a:ext cx="0" cy="228600"/>
        </a:xfrm>
        <a:prstGeom prst="line">
          <a:avLst/>
        </a:prstGeom>
        <a:noFill/>
        <a:ln w="9525">
          <a:solidFill>
            <a:srgbClr val="000000"/>
          </a:solidFill>
          <a:round/>
          <a:headEnd/>
          <a:tailEnd/>
        </a:ln>
      </xdr:spPr>
    </xdr:sp>
    <xdr:clientData/>
  </xdr:twoCellAnchor>
  <xdr:twoCellAnchor>
    <xdr:from>
      <xdr:col>2</xdr:col>
      <xdr:colOff>323850</xdr:colOff>
      <xdr:row>10</xdr:row>
      <xdr:rowOff>104775</xdr:rowOff>
    </xdr:from>
    <xdr:to>
      <xdr:col>2</xdr:col>
      <xdr:colOff>419100</xdr:colOff>
      <xdr:row>11</xdr:row>
      <xdr:rowOff>19050</xdr:rowOff>
    </xdr:to>
    <xdr:sp macro="" textlink="">
      <xdr:nvSpPr>
        <xdr:cNvPr id="27" name="Line 49"/>
        <xdr:cNvSpPr>
          <a:spLocks noChangeShapeType="1"/>
        </xdr:cNvSpPr>
      </xdr:nvSpPr>
      <xdr:spPr bwMode="auto">
        <a:xfrm flipV="1">
          <a:off x="1371600" y="1752600"/>
          <a:ext cx="95250" cy="76200"/>
        </a:xfrm>
        <a:prstGeom prst="line">
          <a:avLst/>
        </a:prstGeom>
        <a:noFill/>
        <a:ln w="9525">
          <a:solidFill>
            <a:srgbClr val="000000"/>
          </a:solidFill>
          <a:round/>
          <a:headEnd/>
          <a:tailEnd/>
        </a:ln>
      </xdr:spPr>
    </xdr:sp>
    <xdr:clientData/>
  </xdr:twoCellAnchor>
  <xdr:twoCellAnchor>
    <xdr:from>
      <xdr:col>2</xdr:col>
      <xdr:colOff>323850</xdr:colOff>
      <xdr:row>11</xdr:row>
      <xdr:rowOff>114300</xdr:rowOff>
    </xdr:from>
    <xdr:to>
      <xdr:col>2</xdr:col>
      <xdr:colOff>409575</xdr:colOff>
      <xdr:row>12</xdr:row>
      <xdr:rowOff>19050</xdr:rowOff>
    </xdr:to>
    <xdr:sp macro="" textlink="">
      <xdr:nvSpPr>
        <xdr:cNvPr id="28" name="Line 50"/>
        <xdr:cNvSpPr>
          <a:spLocks noChangeShapeType="1"/>
        </xdr:cNvSpPr>
      </xdr:nvSpPr>
      <xdr:spPr bwMode="auto">
        <a:xfrm flipV="1">
          <a:off x="1371600" y="1924050"/>
          <a:ext cx="85725" cy="66675"/>
        </a:xfrm>
        <a:prstGeom prst="line">
          <a:avLst/>
        </a:prstGeom>
        <a:noFill/>
        <a:ln w="9525">
          <a:solidFill>
            <a:srgbClr val="000000"/>
          </a:solidFill>
          <a:round/>
          <a:headEnd/>
          <a:tailEnd/>
        </a:ln>
      </xdr:spPr>
    </xdr:sp>
    <xdr:clientData/>
  </xdr:twoCellAnchor>
  <xdr:twoCellAnchor>
    <xdr:from>
      <xdr:col>2</xdr:col>
      <xdr:colOff>485775</xdr:colOff>
      <xdr:row>10</xdr:row>
      <xdr:rowOff>85725</xdr:rowOff>
    </xdr:from>
    <xdr:to>
      <xdr:col>3</xdr:col>
      <xdr:colOff>200025</xdr:colOff>
      <xdr:row>10</xdr:row>
      <xdr:rowOff>85725</xdr:rowOff>
    </xdr:to>
    <xdr:sp macro="" textlink="">
      <xdr:nvSpPr>
        <xdr:cNvPr id="29" name="Line 51"/>
        <xdr:cNvSpPr>
          <a:spLocks noChangeShapeType="1"/>
        </xdr:cNvSpPr>
      </xdr:nvSpPr>
      <xdr:spPr bwMode="auto">
        <a:xfrm>
          <a:off x="1533525" y="1733550"/>
          <a:ext cx="390525" cy="0"/>
        </a:xfrm>
        <a:prstGeom prst="line">
          <a:avLst/>
        </a:prstGeom>
        <a:noFill/>
        <a:ln w="9525">
          <a:solidFill>
            <a:srgbClr val="000000"/>
          </a:solidFill>
          <a:round/>
          <a:headEnd/>
          <a:tailEnd/>
        </a:ln>
      </xdr:spPr>
    </xdr:sp>
    <xdr:clientData/>
  </xdr:twoCellAnchor>
  <xdr:twoCellAnchor>
    <xdr:from>
      <xdr:col>2</xdr:col>
      <xdr:colOff>466725</xdr:colOff>
      <xdr:row>10</xdr:row>
      <xdr:rowOff>19050</xdr:rowOff>
    </xdr:from>
    <xdr:to>
      <xdr:col>2</xdr:col>
      <xdr:colOff>533400</xdr:colOff>
      <xdr:row>10</xdr:row>
      <xdr:rowOff>104775</xdr:rowOff>
    </xdr:to>
    <xdr:sp macro="" textlink="">
      <xdr:nvSpPr>
        <xdr:cNvPr id="30" name="Line 52"/>
        <xdr:cNvSpPr>
          <a:spLocks noChangeShapeType="1"/>
        </xdr:cNvSpPr>
      </xdr:nvSpPr>
      <xdr:spPr bwMode="auto">
        <a:xfrm flipV="1">
          <a:off x="1514475" y="1666875"/>
          <a:ext cx="66675" cy="85725"/>
        </a:xfrm>
        <a:prstGeom prst="line">
          <a:avLst/>
        </a:prstGeom>
        <a:noFill/>
        <a:ln w="9525">
          <a:solidFill>
            <a:srgbClr val="000000"/>
          </a:solidFill>
          <a:round/>
          <a:headEnd/>
          <a:tailEnd/>
        </a:ln>
      </xdr:spPr>
    </xdr:sp>
    <xdr:clientData/>
  </xdr:twoCellAnchor>
  <xdr:twoCellAnchor>
    <xdr:from>
      <xdr:col>3</xdr:col>
      <xdr:colOff>161925</xdr:colOff>
      <xdr:row>10</xdr:row>
      <xdr:rowOff>19050</xdr:rowOff>
    </xdr:from>
    <xdr:to>
      <xdr:col>3</xdr:col>
      <xdr:colOff>257175</xdr:colOff>
      <xdr:row>10</xdr:row>
      <xdr:rowOff>123825</xdr:rowOff>
    </xdr:to>
    <xdr:sp macro="" textlink="">
      <xdr:nvSpPr>
        <xdr:cNvPr id="31" name="Line 53"/>
        <xdr:cNvSpPr>
          <a:spLocks noChangeShapeType="1"/>
        </xdr:cNvSpPr>
      </xdr:nvSpPr>
      <xdr:spPr bwMode="auto">
        <a:xfrm flipV="1">
          <a:off x="1885950" y="1666875"/>
          <a:ext cx="95250" cy="104775"/>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2" name="Line 54"/>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3" name="Line 55"/>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4" name="Line 56"/>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5" name="Line 57"/>
        <xdr:cNvSpPr>
          <a:spLocks noChangeShapeType="1"/>
        </xdr:cNvSpPr>
      </xdr:nvSpPr>
      <xdr:spPr bwMode="auto">
        <a:xfrm flipH="1" flipV="1">
          <a:off x="4133850" y="6372225"/>
          <a:ext cx="76200" cy="0"/>
        </a:xfrm>
        <a:prstGeom prst="line">
          <a:avLst/>
        </a:prstGeom>
        <a:noFill/>
        <a:ln w="9525">
          <a:solidFill>
            <a:srgbClr val="000000"/>
          </a:solidFill>
          <a:round/>
          <a:headEnd/>
          <a:tailEnd/>
        </a:ln>
      </xdr:spPr>
    </xdr:sp>
    <xdr:clientData/>
  </xdr:twoCellAnchor>
  <xdr:twoCellAnchor>
    <xdr:from>
      <xdr:col>6</xdr:col>
      <xdr:colOff>171450</xdr:colOff>
      <xdr:row>21</xdr:row>
      <xdr:rowOff>104775</xdr:rowOff>
    </xdr:from>
    <xdr:to>
      <xdr:col>6</xdr:col>
      <xdr:colOff>457200</xdr:colOff>
      <xdr:row>21</xdr:row>
      <xdr:rowOff>104775</xdr:rowOff>
    </xdr:to>
    <xdr:sp macro="" textlink="">
      <xdr:nvSpPr>
        <xdr:cNvPr id="36" name="Line 58"/>
        <xdr:cNvSpPr>
          <a:spLocks noChangeShapeType="1"/>
        </xdr:cNvSpPr>
      </xdr:nvSpPr>
      <xdr:spPr bwMode="auto">
        <a:xfrm>
          <a:off x="3705225" y="3533775"/>
          <a:ext cx="285750" cy="0"/>
        </a:xfrm>
        <a:prstGeom prst="line">
          <a:avLst/>
        </a:prstGeom>
        <a:noFill/>
        <a:ln w="9525">
          <a:solidFill>
            <a:srgbClr val="000000"/>
          </a:solidFill>
          <a:round/>
          <a:headEnd/>
          <a:tailEnd/>
        </a:ln>
      </xdr:spPr>
    </xdr:sp>
    <xdr:clientData/>
  </xdr:twoCellAnchor>
  <xdr:twoCellAnchor>
    <xdr:from>
      <xdr:col>6</xdr:col>
      <xdr:colOff>447675</xdr:colOff>
      <xdr:row>21</xdr:row>
      <xdr:rowOff>57150</xdr:rowOff>
    </xdr:from>
    <xdr:to>
      <xdr:col>6</xdr:col>
      <xdr:colOff>447675</xdr:colOff>
      <xdr:row>21</xdr:row>
      <xdr:rowOff>142875</xdr:rowOff>
    </xdr:to>
    <xdr:sp macro="" textlink="">
      <xdr:nvSpPr>
        <xdr:cNvPr id="37" name="Line 59"/>
        <xdr:cNvSpPr>
          <a:spLocks noChangeShapeType="1"/>
        </xdr:cNvSpPr>
      </xdr:nvSpPr>
      <xdr:spPr bwMode="auto">
        <a:xfrm>
          <a:off x="3981450" y="3486150"/>
          <a:ext cx="0" cy="85725"/>
        </a:xfrm>
        <a:prstGeom prst="line">
          <a:avLst/>
        </a:prstGeom>
        <a:noFill/>
        <a:ln w="9525">
          <a:solidFill>
            <a:srgbClr val="000000"/>
          </a:solidFill>
          <a:round/>
          <a:headEnd/>
          <a:tailEnd/>
        </a:ln>
      </xdr:spPr>
    </xdr:sp>
    <xdr:clientData/>
  </xdr:twoCellAnchor>
  <xdr:twoCellAnchor>
    <xdr:from>
      <xdr:col>6</xdr:col>
      <xdr:colOff>323850</xdr:colOff>
      <xdr:row>20</xdr:row>
      <xdr:rowOff>85725</xdr:rowOff>
    </xdr:from>
    <xdr:to>
      <xdr:col>6</xdr:col>
      <xdr:colOff>409575</xdr:colOff>
      <xdr:row>21</xdr:row>
      <xdr:rowOff>85725</xdr:rowOff>
    </xdr:to>
    <xdr:sp macro="" textlink="">
      <xdr:nvSpPr>
        <xdr:cNvPr id="38" name="Line 60"/>
        <xdr:cNvSpPr>
          <a:spLocks noChangeShapeType="1"/>
        </xdr:cNvSpPr>
      </xdr:nvSpPr>
      <xdr:spPr bwMode="auto">
        <a:xfrm flipV="1">
          <a:off x="3857625" y="3352800"/>
          <a:ext cx="85725" cy="161925"/>
        </a:xfrm>
        <a:prstGeom prst="line">
          <a:avLst/>
        </a:prstGeom>
        <a:noFill/>
        <a:ln w="9525">
          <a:solidFill>
            <a:srgbClr val="000000"/>
          </a:solidFill>
          <a:round/>
          <a:headEnd/>
          <a:tailEnd/>
        </a:ln>
      </xdr:spPr>
    </xdr:sp>
    <xdr:clientData/>
  </xdr:twoCellAnchor>
  <xdr:twoCellAnchor>
    <xdr:from>
      <xdr:col>9</xdr:col>
      <xdr:colOff>438150</xdr:colOff>
      <xdr:row>23</xdr:row>
      <xdr:rowOff>38100</xdr:rowOff>
    </xdr:from>
    <xdr:to>
      <xdr:col>10</xdr:col>
      <xdr:colOff>19050</xdr:colOff>
      <xdr:row>23</xdr:row>
      <xdr:rowOff>85725</xdr:rowOff>
    </xdr:to>
    <xdr:sp macro="" textlink="">
      <xdr:nvSpPr>
        <xdr:cNvPr id="39" name="Line 61"/>
        <xdr:cNvSpPr>
          <a:spLocks noChangeShapeType="1"/>
        </xdr:cNvSpPr>
      </xdr:nvSpPr>
      <xdr:spPr bwMode="auto">
        <a:xfrm>
          <a:off x="6267450" y="3790950"/>
          <a:ext cx="257175" cy="47625"/>
        </a:xfrm>
        <a:prstGeom prst="line">
          <a:avLst/>
        </a:prstGeom>
        <a:noFill/>
        <a:ln w="9525">
          <a:solidFill>
            <a:srgbClr val="000000"/>
          </a:solidFill>
          <a:round/>
          <a:headEnd/>
          <a:tailEnd/>
        </a:ln>
      </xdr:spPr>
    </xdr:sp>
    <xdr:clientData/>
  </xdr:twoCellAnchor>
  <xdr:twoCellAnchor>
    <xdr:from>
      <xdr:col>9</xdr:col>
      <xdr:colOff>447675</xdr:colOff>
      <xdr:row>23</xdr:row>
      <xdr:rowOff>152400</xdr:rowOff>
    </xdr:from>
    <xdr:to>
      <xdr:col>10</xdr:col>
      <xdr:colOff>19050</xdr:colOff>
      <xdr:row>24</xdr:row>
      <xdr:rowOff>85725</xdr:rowOff>
    </xdr:to>
    <xdr:sp macro="" textlink="">
      <xdr:nvSpPr>
        <xdr:cNvPr id="40" name="Line 62"/>
        <xdr:cNvSpPr>
          <a:spLocks noChangeShapeType="1"/>
        </xdr:cNvSpPr>
      </xdr:nvSpPr>
      <xdr:spPr bwMode="auto">
        <a:xfrm>
          <a:off x="6276975" y="3905250"/>
          <a:ext cx="247650" cy="95250"/>
        </a:xfrm>
        <a:prstGeom prst="line">
          <a:avLst/>
        </a:prstGeom>
        <a:noFill/>
        <a:ln w="9525">
          <a:solidFill>
            <a:srgbClr val="000000"/>
          </a:solidFill>
          <a:round/>
          <a:headEnd/>
          <a:tailEnd/>
        </a:ln>
      </xdr:spPr>
    </xdr:sp>
    <xdr:clientData/>
  </xdr:twoCellAnchor>
  <xdr:twoCellAnchor>
    <xdr:from>
      <xdr:col>2</xdr:col>
      <xdr:colOff>314325</xdr:colOff>
      <xdr:row>24</xdr:row>
      <xdr:rowOff>133350</xdr:rowOff>
    </xdr:from>
    <xdr:to>
      <xdr:col>6</xdr:col>
      <xdr:colOff>457200</xdr:colOff>
      <xdr:row>24</xdr:row>
      <xdr:rowOff>133350</xdr:rowOff>
    </xdr:to>
    <xdr:sp macro="" textlink="">
      <xdr:nvSpPr>
        <xdr:cNvPr id="41" name="Line 63"/>
        <xdr:cNvSpPr>
          <a:spLocks noChangeShapeType="1"/>
        </xdr:cNvSpPr>
      </xdr:nvSpPr>
      <xdr:spPr bwMode="auto">
        <a:xfrm>
          <a:off x="1362075" y="4048125"/>
          <a:ext cx="2628900" cy="0"/>
        </a:xfrm>
        <a:prstGeom prst="line">
          <a:avLst/>
        </a:prstGeom>
        <a:noFill/>
        <a:ln w="9525">
          <a:solidFill>
            <a:srgbClr val="000000"/>
          </a:solidFill>
          <a:round/>
          <a:headEnd/>
          <a:tailEnd/>
        </a:ln>
      </xdr:spPr>
    </xdr:sp>
    <xdr:clientData/>
  </xdr:twoCellAnchor>
  <xdr:twoCellAnchor>
    <xdr:from>
      <xdr:col>2</xdr:col>
      <xdr:colOff>314325</xdr:colOff>
      <xdr:row>24</xdr:row>
      <xdr:rowOff>57150</xdr:rowOff>
    </xdr:from>
    <xdr:to>
      <xdr:col>2</xdr:col>
      <xdr:colOff>314325</xdr:colOff>
      <xdr:row>25</xdr:row>
      <xdr:rowOff>19050</xdr:rowOff>
    </xdr:to>
    <xdr:sp macro="" textlink="">
      <xdr:nvSpPr>
        <xdr:cNvPr id="42" name="Line 64"/>
        <xdr:cNvSpPr>
          <a:spLocks noChangeShapeType="1"/>
        </xdr:cNvSpPr>
      </xdr:nvSpPr>
      <xdr:spPr bwMode="auto">
        <a:xfrm>
          <a:off x="1362075" y="3971925"/>
          <a:ext cx="0" cy="123825"/>
        </a:xfrm>
        <a:prstGeom prst="line">
          <a:avLst/>
        </a:prstGeom>
        <a:noFill/>
        <a:ln w="9525">
          <a:solidFill>
            <a:srgbClr val="000000"/>
          </a:solidFill>
          <a:round/>
          <a:headEnd/>
          <a:tailEnd/>
        </a:ln>
      </xdr:spPr>
    </xdr:sp>
    <xdr:clientData/>
  </xdr:twoCellAnchor>
  <xdr:twoCellAnchor>
    <xdr:from>
      <xdr:col>6</xdr:col>
      <xdr:colOff>457200</xdr:colOff>
      <xdr:row>24</xdr:row>
      <xdr:rowOff>66675</xdr:rowOff>
    </xdr:from>
    <xdr:to>
      <xdr:col>6</xdr:col>
      <xdr:colOff>457200</xdr:colOff>
      <xdr:row>25</xdr:row>
      <xdr:rowOff>76200</xdr:rowOff>
    </xdr:to>
    <xdr:sp macro="" textlink="">
      <xdr:nvSpPr>
        <xdr:cNvPr id="43" name="Line 65"/>
        <xdr:cNvSpPr>
          <a:spLocks noChangeShapeType="1"/>
        </xdr:cNvSpPr>
      </xdr:nvSpPr>
      <xdr:spPr bwMode="auto">
        <a:xfrm>
          <a:off x="3990975" y="3981450"/>
          <a:ext cx="0" cy="171450"/>
        </a:xfrm>
        <a:prstGeom prst="line">
          <a:avLst/>
        </a:prstGeom>
        <a:noFill/>
        <a:ln w="9525">
          <a:solidFill>
            <a:srgbClr val="000000"/>
          </a:solidFill>
          <a:round/>
          <a:headEnd/>
          <a:tailEnd/>
        </a:ln>
      </xdr:spPr>
    </xdr:sp>
    <xdr:clientData/>
  </xdr:twoCellAnchor>
  <xdr:twoCellAnchor>
    <xdr:from>
      <xdr:col>46</xdr:col>
      <xdr:colOff>190500</xdr:colOff>
      <xdr:row>79</xdr:row>
      <xdr:rowOff>114300</xdr:rowOff>
    </xdr:from>
    <xdr:to>
      <xdr:col>46</xdr:col>
      <xdr:colOff>276225</xdr:colOff>
      <xdr:row>79</xdr:row>
      <xdr:rowOff>114300</xdr:rowOff>
    </xdr:to>
    <xdr:sp macro="" textlink="">
      <xdr:nvSpPr>
        <xdr:cNvPr id="44" name="Line 66"/>
        <xdr:cNvSpPr>
          <a:spLocks noChangeShapeType="1"/>
        </xdr:cNvSpPr>
      </xdr:nvSpPr>
      <xdr:spPr bwMode="auto">
        <a:xfrm>
          <a:off x="28879800" y="18402300"/>
          <a:ext cx="85725" cy="0"/>
        </a:xfrm>
        <a:prstGeom prst="line">
          <a:avLst/>
        </a:prstGeom>
        <a:noFill/>
        <a:ln w="9525">
          <a:solidFill>
            <a:srgbClr val="000000"/>
          </a:solidFill>
          <a:round/>
          <a:headEnd/>
          <a:tailEnd/>
        </a:ln>
      </xdr:spPr>
    </xdr:sp>
    <xdr:clientData/>
  </xdr:twoCellAnchor>
  <xdr:twoCellAnchor>
    <xdr:from>
      <xdr:col>91</xdr:col>
      <xdr:colOff>171450</xdr:colOff>
      <xdr:row>74</xdr:row>
      <xdr:rowOff>76200</xdr:rowOff>
    </xdr:from>
    <xdr:to>
      <xdr:col>91</xdr:col>
      <xdr:colOff>361950</xdr:colOff>
      <xdr:row>74</xdr:row>
      <xdr:rowOff>123825</xdr:rowOff>
    </xdr:to>
    <xdr:sp macro="" textlink="">
      <xdr:nvSpPr>
        <xdr:cNvPr id="45" name="Line 67"/>
        <xdr:cNvSpPr>
          <a:spLocks noChangeShapeType="1"/>
        </xdr:cNvSpPr>
      </xdr:nvSpPr>
      <xdr:spPr bwMode="auto">
        <a:xfrm>
          <a:off x="56292750" y="17049750"/>
          <a:ext cx="190500" cy="47625"/>
        </a:xfrm>
        <a:prstGeom prst="line">
          <a:avLst/>
        </a:prstGeom>
        <a:noFill/>
        <a:ln w="9525">
          <a:solidFill>
            <a:srgbClr val="000000"/>
          </a:solidFill>
          <a:round/>
          <a:headEnd/>
          <a:tailEnd/>
        </a:ln>
      </xdr:spPr>
    </xdr:sp>
    <xdr:clientData/>
  </xdr:twoCellAnchor>
  <xdr:twoCellAnchor>
    <xdr:from>
      <xdr:col>2</xdr:col>
      <xdr:colOff>533400</xdr:colOff>
      <xdr:row>21</xdr:row>
      <xdr:rowOff>152400</xdr:rowOff>
    </xdr:from>
    <xdr:to>
      <xdr:col>9</xdr:col>
      <xdr:colOff>361950</xdr:colOff>
      <xdr:row>22</xdr:row>
      <xdr:rowOff>76200</xdr:rowOff>
    </xdr:to>
    <xdr:sp macro="" textlink="">
      <xdr:nvSpPr>
        <xdr:cNvPr id="46" name="Rectangle 68"/>
        <xdr:cNvSpPr>
          <a:spLocks noChangeArrowheads="1"/>
        </xdr:cNvSpPr>
      </xdr:nvSpPr>
      <xdr:spPr bwMode="auto">
        <a:xfrm>
          <a:off x="1581150" y="3581400"/>
          <a:ext cx="4610100" cy="85725"/>
        </a:xfrm>
        <a:prstGeom prst="rect">
          <a:avLst/>
        </a:prstGeom>
        <a:solidFill>
          <a:srgbClr val="FFFFFF"/>
        </a:solidFill>
        <a:ln w="9525">
          <a:solidFill>
            <a:srgbClr val="000000"/>
          </a:solidFill>
          <a:miter lim="800000"/>
          <a:headEnd/>
          <a:tailEnd/>
        </a:ln>
      </xdr:spPr>
    </xdr:sp>
    <xdr:clientData/>
  </xdr:twoCellAnchor>
  <xdr:twoCellAnchor>
    <xdr:from>
      <xdr:col>2</xdr:col>
      <xdr:colOff>542925</xdr:colOff>
      <xdr:row>11</xdr:row>
      <xdr:rowOff>104775</xdr:rowOff>
    </xdr:from>
    <xdr:to>
      <xdr:col>9</xdr:col>
      <xdr:colOff>285750</xdr:colOff>
      <xdr:row>12</xdr:row>
      <xdr:rowOff>19050</xdr:rowOff>
    </xdr:to>
    <xdr:sp macro="" textlink="">
      <xdr:nvSpPr>
        <xdr:cNvPr id="47" name="Rectangle 69"/>
        <xdr:cNvSpPr>
          <a:spLocks noChangeArrowheads="1"/>
        </xdr:cNvSpPr>
      </xdr:nvSpPr>
      <xdr:spPr bwMode="auto">
        <a:xfrm>
          <a:off x="1590675" y="1914525"/>
          <a:ext cx="4524375" cy="76200"/>
        </a:xfrm>
        <a:prstGeom prst="rect">
          <a:avLst/>
        </a:prstGeom>
        <a:solidFill>
          <a:srgbClr val="FFFFFF"/>
        </a:solidFill>
        <a:ln w="9525">
          <a:solidFill>
            <a:srgbClr val="000000"/>
          </a:solidFill>
          <a:miter lim="800000"/>
          <a:headEnd/>
          <a:tailEnd/>
        </a:ln>
      </xdr:spPr>
    </xdr:sp>
    <xdr:clientData/>
  </xdr:twoCellAnchor>
  <xdr:twoCellAnchor>
    <xdr:from>
      <xdr:col>4</xdr:col>
      <xdr:colOff>371475</xdr:colOff>
      <xdr:row>12</xdr:row>
      <xdr:rowOff>28575</xdr:rowOff>
    </xdr:from>
    <xdr:to>
      <xdr:col>4</xdr:col>
      <xdr:colOff>447675</xdr:colOff>
      <xdr:row>21</xdr:row>
      <xdr:rowOff>152400</xdr:rowOff>
    </xdr:to>
    <xdr:sp macro="" textlink="">
      <xdr:nvSpPr>
        <xdr:cNvPr id="48" name="Rectangle 70"/>
        <xdr:cNvSpPr>
          <a:spLocks noChangeArrowheads="1"/>
        </xdr:cNvSpPr>
      </xdr:nvSpPr>
      <xdr:spPr bwMode="auto">
        <a:xfrm>
          <a:off x="2838450" y="2000250"/>
          <a:ext cx="76200" cy="1581150"/>
        </a:xfrm>
        <a:prstGeom prst="rect">
          <a:avLst/>
        </a:prstGeom>
        <a:solidFill>
          <a:srgbClr val="FFFFFF"/>
        </a:solidFill>
        <a:ln w="9525">
          <a:solidFill>
            <a:srgbClr val="000000"/>
          </a:solidFill>
          <a:miter lim="800000"/>
          <a:headEnd/>
          <a:tailEnd/>
        </a:ln>
      </xdr:spPr>
    </xdr:sp>
    <xdr:clientData/>
  </xdr:twoCellAnchor>
  <xdr:twoCellAnchor>
    <xdr:from>
      <xdr:col>7</xdr:col>
      <xdr:colOff>695325</xdr:colOff>
      <xdr:row>12</xdr:row>
      <xdr:rowOff>19050</xdr:rowOff>
    </xdr:from>
    <xdr:to>
      <xdr:col>8</xdr:col>
      <xdr:colOff>66675</xdr:colOff>
      <xdr:row>21</xdr:row>
      <xdr:rowOff>142875</xdr:rowOff>
    </xdr:to>
    <xdr:sp macro="" textlink="">
      <xdr:nvSpPr>
        <xdr:cNvPr id="49" name="Rectangle 74"/>
        <xdr:cNvSpPr>
          <a:spLocks noChangeArrowheads="1"/>
        </xdr:cNvSpPr>
      </xdr:nvSpPr>
      <xdr:spPr bwMode="auto">
        <a:xfrm>
          <a:off x="4905375" y="1990725"/>
          <a:ext cx="76200" cy="1581150"/>
        </a:xfrm>
        <a:prstGeom prst="rect">
          <a:avLst/>
        </a:prstGeom>
        <a:solidFill>
          <a:srgbClr val="FFFFFF"/>
        </a:solidFill>
        <a:ln w="9525">
          <a:solidFill>
            <a:srgbClr val="000000"/>
          </a:solidFill>
          <a:miter lim="800000"/>
          <a:headEnd/>
          <a:tailEnd/>
        </a:ln>
      </xdr:spPr>
    </xdr:sp>
    <xdr:clientData/>
  </xdr:twoCellAnchor>
  <xdr:twoCellAnchor>
    <xdr:from>
      <xdr:col>6</xdr:col>
      <xdr:colOff>219075</xdr:colOff>
      <xdr:row>12</xdr:row>
      <xdr:rowOff>19050</xdr:rowOff>
    </xdr:from>
    <xdr:to>
      <xdr:col>6</xdr:col>
      <xdr:colOff>295275</xdr:colOff>
      <xdr:row>21</xdr:row>
      <xdr:rowOff>142875</xdr:rowOff>
    </xdr:to>
    <xdr:sp macro="" textlink="">
      <xdr:nvSpPr>
        <xdr:cNvPr id="50" name="Rectangle 75"/>
        <xdr:cNvSpPr>
          <a:spLocks noChangeArrowheads="1"/>
        </xdr:cNvSpPr>
      </xdr:nvSpPr>
      <xdr:spPr bwMode="auto">
        <a:xfrm>
          <a:off x="3752850" y="1990725"/>
          <a:ext cx="76200" cy="1581150"/>
        </a:xfrm>
        <a:prstGeom prst="rect">
          <a:avLst/>
        </a:prstGeom>
        <a:solidFill>
          <a:srgbClr val="FFFFFF"/>
        </a:solidFill>
        <a:ln w="9525">
          <a:solidFill>
            <a:srgbClr val="000000"/>
          </a:solidFill>
          <a:miter lim="800000"/>
          <a:headEnd/>
          <a:tailEnd/>
        </a:ln>
      </xdr:spPr>
    </xdr:sp>
    <xdr:clientData/>
  </xdr:twoCellAnchor>
  <xdr:twoCellAnchor>
    <xdr:from>
      <xdr:col>8</xdr:col>
      <xdr:colOff>781050</xdr:colOff>
      <xdr:row>12</xdr:row>
      <xdr:rowOff>19050</xdr:rowOff>
    </xdr:from>
    <xdr:to>
      <xdr:col>8</xdr:col>
      <xdr:colOff>857250</xdr:colOff>
      <xdr:row>22</xdr:row>
      <xdr:rowOff>0</xdr:rowOff>
    </xdr:to>
    <xdr:sp macro="" textlink="">
      <xdr:nvSpPr>
        <xdr:cNvPr id="51" name="Rectangle 76"/>
        <xdr:cNvSpPr>
          <a:spLocks noChangeArrowheads="1"/>
        </xdr:cNvSpPr>
      </xdr:nvSpPr>
      <xdr:spPr bwMode="auto">
        <a:xfrm>
          <a:off x="5695950" y="1990725"/>
          <a:ext cx="76200" cy="1600200"/>
        </a:xfrm>
        <a:prstGeom prst="rect">
          <a:avLst/>
        </a:prstGeom>
        <a:solidFill>
          <a:srgbClr val="FFFF00"/>
        </a:solidFill>
        <a:ln w="9525">
          <a:solidFill>
            <a:srgbClr val="0000FF"/>
          </a:solidFill>
          <a:miter lim="800000"/>
          <a:headEnd/>
          <a:tailEnd/>
        </a:ln>
      </xdr:spPr>
    </xdr:sp>
    <xdr:clientData/>
  </xdr:twoCellAnchor>
  <xdr:twoCellAnchor>
    <xdr:from>
      <xdr:col>3</xdr:col>
      <xdr:colOff>0</xdr:colOff>
      <xdr:row>12</xdr:row>
      <xdr:rowOff>0</xdr:rowOff>
    </xdr:from>
    <xdr:to>
      <xdr:col>3</xdr:col>
      <xdr:colOff>76200</xdr:colOff>
      <xdr:row>21</xdr:row>
      <xdr:rowOff>142875</xdr:rowOff>
    </xdr:to>
    <xdr:sp macro="" textlink="">
      <xdr:nvSpPr>
        <xdr:cNvPr id="52" name="Rectangle 77"/>
        <xdr:cNvSpPr>
          <a:spLocks noChangeArrowheads="1"/>
        </xdr:cNvSpPr>
      </xdr:nvSpPr>
      <xdr:spPr bwMode="auto">
        <a:xfrm>
          <a:off x="1724025" y="1971675"/>
          <a:ext cx="76200" cy="1600200"/>
        </a:xfrm>
        <a:prstGeom prst="rect">
          <a:avLst/>
        </a:prstGeom>
        <a:solidFill>
          <a:srgbClr val="FFFF00"/>
        </a:solidFill>
        <a:ln w="9525">
          <a:solidFill>
            <a:srgbClr val="0000FF"/>
          </a:solidFill>
          <a:miter lim="800000"/>
          <a:headEnd/>
          <a:tailEnd/>
        </a:ln>
      </xdr:spPr>
    </xdr:sp>
    <xdr:clientData/>
  </xdr:twoCellAnchor>
  <xdr:twoCellAnchor>
    <xdr:from>
      <xdr:col>2</xdr:col>
      <xdr:colOff>533400</xdr:colOff>
      <xdr:row>22</xdr:row>
      <xdr:rowOff>76200</xdr:rowOff>
    </xdr:from>
    <xdr:to>
      <xdr:col>9</xdr:col>
      <xdr:colOff>361950</xdr:colOff>
      <xdr:row>23</xdr:row>
      <xdr:rowOff>19050</xdr:rowOff>
    </xdr:to>
    <xdr:sp macro="" textlink="">
      <xdr:nvSpPr>
        <xdr:cNvPr id="53" name="Rectangle 78"/>
        <xdr:cNvSpPr>
          <a:spLocks noChangeArrowheads="1"/>
        </xdr:cNvSpPr>
      </xdr:nvSpPr>
      <xdr:spPr bwMode="auto">
        <a:xfrm>
          <a:off x="1581150" y="3667125"/>
          <a:ext cx="4610100" cy="104775"/>
        </a:xfrm>
        <a:prstGeom prst="rect">
          <a:avLst/>
        </a:prstGeom>
        <a:solidFill>
          <a:srgbClr val="FFFFFF"/>
        </a:solidFill>
        <a:ln w="9525">
          <a:solidFill>
            <a:srgbClr val="000000"/>
          </a:solidFill>
          <a:miter lim="800000"/>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590550</xdr:colOff>
      <xdr:row>16</xdr:row>
      <xdr:rowOff>0</xdr:rowOff>
    </xdr:from>
    <xdr:to>
      <xdr:col>2</xdr:col>
      <xdr:colOff>590550</xdr:colOff>
      <xdr:row>28</xdr:row>
      <xdr:rowOff>9525</xdr:rowOff>
    </xdr:to>
    <xdr:sp macro="" textlink="">
      <xdr:nvSpPr>
        <xdr:cNvPr id="2" name="Line 1"/>
        <xdr:cNvSpPr>
          <a:spLocks noChangeShapeType="1"/>
        </xdr:cNvSpPr>
      </xdr:nvSpPr>
      <xdr:spPr bwMode="auto">
        <a:xfrm flipH="1" flipV="1">
          <a:off x="1866900" y="2476500"/>
          <a:ext cx="0" cy="1952625"/>
        </a:xfrm>
        <a:prstGeom prst="line">
          <a:avLst/>
        </a:prstGeom>
        <a:noFill/>
        <a:ln w="9525">
          <a:solidFill>
            <a:srgbClr val="000000"/>
          </a:solidFill>
          <a:round/>
          <a:headEnd/>
          <a:tailEnd/>
        </a:ln>
      </xdr:spPr>
    </xdr:sp>
    <xdr:clientData/>
  </xdr:twoCellAnchor>
  <xdr:twoCellAnchor>
    <xdr:from>
      <xdr:col>5</xdr:col>
      <xdr:colOff>190500</xdr:colOff>
      <xdr:row>16</xdr:row>
      <xdr:rowOff>9525</xdr:rowOff>
    </xdr:from>
    <xdr:to>
      <xdr:col>5</xdr:col>
      <xdr:colOff>190500</xdr:colOff>
      <xdr:row>28</xdr:row>
      <xdr:rowOff>28575</xdr:rowOff>
    </xdr:to>
    <xdr:sp macro="" textlink="">
      <xdr:nvSpPr>
        <xdr:cNvPr id="3" name="Line 2"/>
        <xdr:cNvSpPr>
          <a:spLocks noChangeShapeType="1"/>
        </xdr:cNvSpPr>
      </xdr:nvSpPr>
      <xdr:spPr bwMode="auto">
        <a:xfrm flipV="1">
          <a:off x="3305175" y="2486025"/>
          <a:ext cx="0" cy="1962150"/>
        </a:xfrm>
        <a:prstGeom prst="line">
          <a:avLst/>
        </a:prstGeom>
        <a:noFill/>
        <a:ln w="9525">
          <a:solidFill>
            <a:srgbClr val="000000"/>
          </a:solidFill>
          <a:round/>
          <a:headEnd/>
          <a:tailEnd/>
        </a:ln>
      </xdr:spPr>
    </xdr:sp>
    <xdr:clientData/>
  </xdr:twoCellAnchor>
  <xdr:twoCellAnchor>
    <xdr:from>
      <xdr:col>2</xdr:col>
      <xdr:colOff>428625</xdr:colOff>
      <xdr:row>28</xdr:row>
      <xdr:rowOff>9525</xdr:rowOff>
    </xdr:from>
    <xdr:to>
      <xdr:col>3</xdr:col>
      <xdr:colOff>209550</xdr:colOff>
      <xdr:row>28</xdr:row>
      <xdr:rowOff>9525</xdr:rowOff>
    </xdr:to>
    <xdr:sp macro="" textlink="">
      <xdr:nvSpPr>
        <xdr:cNvPr id="4" name="Line 3"/>
        <xdr:cNvSpPr>
          <a:spLocks noChangeShapeType="1"/>
        </xdr:cNvSpPr>
      </xdr:nvSpPr>
      <xdr:spPr bwMode="auto">
        <a:xfrm>
          <a:off x="1704975" y="4429125"/>
          <a:ext cx="390525" cy="0"/>
        </a:xfrm>
        <a:prstGeom prst="line">
          <a:avLst/>
        </a:prstGeom>
        <a:noFill/>
        <a:ln w="9525">
          <a:solidFill>
            <a:srgbClr val="000000"/>
          </a:solidFill>
          <a:round/>
          <a:headEnd/>
          <a:tailEnd/>
        </a:ln>
      </xdr:spPr>
    </xdr:sp>
    <xdr:clientData/>
  </xdr:twoCellAnchor>
  <xdr:twoCellAnchor>
    <xdr:from>
      <xdr:col>2</xdr:col>
      <xdr:colOff>457200</xdr:colOff>
      <xdr:row>28</xdr:row>
      <xdr:rowOff>9525</xdr:rowOff>
    </xdr:from>
    <xdr:to>
      <xdr:col>2</xdr:col>
      <xdr:colOff>457200</xdr:colOff>
      <xdr:row>30</xdr:row>
      <xdr:rowOff>114300</xdr:rowOff>
    </xdr:to>
    <xdr:sp macro="" textlink="">
      <xdr:nvSpPr>
        <xdr:cNvPr id="5" name="Line 4"/>
        <xdr:cNvSpPr>
          <a:spLocks noChangeShapeType="1"/>
        </xdr:cNvSpPr>
      </xdr:nvSpPr>
      <xdr:spPr bwMode="auto">
        <a:xfrm flipV="1">
          <a:off x="1733550" y="4429125"/>
          <a:ext cx="0" cy="428625"/>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9525</xdr:rowOff>
    </xdr:to>
    <xdr:sp macro="" textlink="">
      <xdr:nvSpPr>
        <xdr:cNvPr id="6" name="Line 5"/>
        <xdr:cNvSpPr>
          <a:spLocks noChangeShapeType="1"/>
        </xdr:cNvSpPr>
      </xdr:nvSpPr>
      <xdr:spPr bwMode="auto">
        <a:xfrm flipV="1">
          <a:off x="4352925" y="4581525"/>
          <a:ext cx="0" cy="9525"/>
        </a:xfrm>
        <a:prstGeom prst="line">
          <a:avLst/>
        </a:prstGeom>
        <a:noFill/>
        <a:ln w="9525">
          <a:solidFill>
            <a:srgbClr val="000000"/>
          </a:solidFill>
          <a:round/>
          <a:headEnd/>
          <a:tailEnd/>
        </a:ln>
      </xdr:spPr>
    </xdr:sp>
    <xdr:clientData/>
  </xdr:twoCellAnchor>
  <xdr:twoCellAnchor>
    <xdr:from>
      <xdr:col>4</xdr:col>
      <xdr:colOff>600075</xdr:colOff>
      <xdr:row>28</xdr:row>
      <xdr:rowOff>0</xdr:rowOff>
    </xdr:from>
    <xdr:to>
      <xdr:col>5</xdr:col>
      <xdr:colOff>371475</xdr:colOff>
      <xdr:row>28</xdr:row>
      <xdr:rowOff>0</xdr:rowOff>
    </xdr:to>
    <xdr:sp macro="" textlink="">
      <xdr:nvSpPr>
        <xdr:cNvPr id="7" name="Line 6"/>
        <xdr:cNvSpPr>
          <a:spLocks noChangeShapeType="1"/>
        </xdr:cNvSpPr>
      </xdr:nvSpPr>
      <xdr:spPr bwMode="auto">
        <a:xfrm>
          <a:off x="3095625" y="4419600"/>
          <a:ext cx="390525" cy="0"/>
        </a:xfrm>
        <a:prstGeom prst="line">
          <a:avLst/>
        </a:prstGeom>
        <a:noFill/>
        <a:ln w="9525">
          <a:solidFill>
            <a:srgbClr val="000000"/>
          </a:solidFill>
          <a:round/>
          <a:headEnd/>
          <a:tailEnd/>
        </a:ln>
      </xdr:spPr>
    </xdr:sp>
    <xdr:clientData/>
  </xdr:twoCellAnchor>
  <xdr:twoCellAnchor>
    <xdr:from>
      <xdr:col>5</xdr:col>
      <xdr:colOff>304800</xdr:colOff>
      <xdr:row>28</xdr:row>
      <xdr:rowOff>9525</xdr:rowOff>
    </xdr:from>
    <xdr:to>
      <xdr:col>5</xdr:col>
      <xdr:colOff>304800</xdr:colOff>
      <xdr:row>30</xdr:row>
      <xdr:rowOff>123825</xdr:rowOff>
    </xdr:to>
    <xdr:sp macro="" textlink="">
      <xdr:nvSpPr>
        <xdr:cNvPr id="8" name="Line 7"/>
        <xdr:cNvSpPr>
          <a:spLocks noChangeShapeType="1"/>
        </xdr:cNvSpPr>
      </xdr:nvSpPr>
      <xdr:spPr bwMode="auto">
        <a:xfrm>
          <a:off x="3419475" y="4429125"/>
          <a:ext cx="0" cy="438150"/>
        </a:xfrm>
        <a:prstGeom prst="line">
          <a:avLst/>
        </a:prstGeom>
        <a:noFill/>
        <a:ln w="9525">
          <a:solidFill>
            <a:srgbClr val="000000"/>
          </a:solidFill>
          <a:round/>
          <a:headEnd/>
          <a:tailEnd/>
        </a:ln>
      </xdr:spPr>
    </xdr:sp>
    <xdr:clientData/>
  </xdr:twoCellAnchor>
  <xdr:twoCellAnchor>
    <xdr:from>
      <xdr:col>7</xdr:col>
      <xdr:colOff>0</xdr:colOff>
      <xdr:row>24</xdr:row>
      <xdr:rowOff>152400</xdr:rowOff>
    </xdr:from>
    <xdr:to>
      <xdr:col>7</xdr:col>
      <xdr:colOff>0</xdr:colOff>
      <xdr:row>25</xdr:row>
      <xdr:rowOff>0</xdr:rowOff>
    </xdr:to>
    <xdr:sp macro="" textlink="">
      <xdr:nvSpPr>
        <xdr:cNvPr id="9" name="Line 8"/>
        <xdr:cNvSpPr>
          <a:spLocks noChangeShapeType="1"/>
        </xdr:cNvSpPr>
      </xdr:nvSpPr>
      <xdr:spPr bwMode="auto">
        <a:xfrm flipV="1">
          <a:off x="4352925" y="3924300"/>
          <a:ext cx="0" cy="9525"/>
        </a:xfrm>
        <a:prstGeom prst="line">
          <a:avLst/>
        </a:prstGeom>
        <a:noFill/>
        <a:ln w="9525">
          <a:solidFill>
            <a:srgbClr val="000000"/>
          </a:solidFill>
          <a:round/>
          <a:headEnd/>
          <a:tailEnd/>
        </a:ln>
      </xdr:spPr>
    </xdr:sp>
    <xdr:clientData/>
  </xdr:twoCellAnchor>
  <xdr:twoCellAnchor>
    <xdr:from>
      <xdr:col>2</xdr:col>
      <xdr:colOff>85725</xdr:colOff>
      <xdr:row>28</xdr:row>
      <xdr:rowOff>0</xdr:rowOff>
    </xdr:from>
    <xdr:to>
      <xdr:col>2</xdr:col>
      <xdr:colOff>409575</xdr:colOff>
      <xdr:row>28</xdr:row>
      <xdr:rowOff>0</xdr:rowOff>
    </xdr:to>
    <xdr:sp macro="" textlink="">
      <xdr:nvSpPr>
        <xdr:cNvPr id="10" name="Line 9"/>
        <xdr:cNvSpPr>
          <a:spLocks noChangeShapeType="1"/>
        </xdr:cNvSpPr>
      </xdr:nvSpPr>
      <xdr:spPr bwMode="auto">
        <a:xfrm>
          <a:off x="1362075" y="4419600"/>
          <a:ext cx="323850" cy="0"/>
        </a:xfrm>
        <a:prstGeom prst="line">
          <a:avLst/>
        </a:prstGeom>
        <a:noFill/>
        <a:ln w="9525">
          <a:solidFill>
            <a:srgbClr val="000000"/>
          </a:solidFill>
          <a:round/>
          <a:headEnd/>
          <a:tailEnd/>
        </a:ln>
      </xdr:spPr>
    </xdr:sp>
    <xdr:clientData/>
  </xdr:twoCellAnchor>
  <xdr:twoCellAnchor>
    <xdr:from>
      <xdr:col>2</xdr:col>
      <xdr:colOff>104775</xdr:colOff>
      <xdr:row>28</xdr:row>
      <xdr:rowOff>152400</xdr:rowOff>
    </xdr:from>
    <xdr:to>
      <xdr:col>2</xdr:col>
      <xdr:colOff>428625</xdr:colOff>
      <xdr:row>28</xdr:row>
      <xdr:rowOff>152400</xdr:rowOff>
    </xdr:to>
    <xdr:sp macro="" textlink="">
      <xdr:nvSpPr>
        <xdr:cNvPr id="11" name="Line 10"/>
        <xdr:cNvSpPr>
          <a:spLocks noChangeShapeType="1"/>
        </xdr:cNvSpPr>
      </xdr:nvSpPr>
      <xdr:spPr bwMode="auto">
        <a:xfrm>
          <a:off x="1381125" y="4572000"/>
          <a:ext cx="323850" cy="0"/>
        </a:xfrm>
        <a:prstGeom prst="line">
          <a:avLst/>
        </a:prstGeom>
        <a:noFill/>
        <a:ln w="9525">
          <a:solidFill>
            <a:srgbClr val="000000"/>
          </a:solidFill>
          <a:round/>
          <a:headEnd/>
          <a:tailEnd/>
        </a:ln>
      </xdr:spPr>
    </xdr:sp>
    <xdr:clientData/>
  </xdr:twoCellAnchor>
  <xdr:twoCellAnchor>
    <xdr:from>
      <xdr:col>2</xdr:col>
      <xdr:colOff>152400</xdr:colOff>
      <xdr:row>30</xdr:row>
      <xdr:rowOff>114300</xdr:rowOff>
    </xdr:from>
    <xdr:to>
      <xdr:col>2</xdr:col>
      <xdr:colOff>447675</xdr:colOff>
      <xdr:row>30</xdr:row>
      <xdr:rowOff>114300</xdr:rowOff>
    </xdr:to>
    <xdr:sp macro="" textlink="">
      <xdr:nvSpPr>
        <xdr:cNvPr id="12" name="Line 11"/>
        <xdr:cNvSpPr>
          <a:spLocks noChangeShapeType="1"/>
        </xdr:cNvSpPr>
      </xdr:nvSpPr>
      <xdr:spPr bwMode="auto">
        <a:xfrm>
          <a:off x="1428750" y="4857750"/>
          <a:ext cx="295275" cy="0"/>
        </a:xfrm>
        <a:prstGeom prst="line">
          <a:avLst/>
        </a:prstGeom>
        <a:noFill/>
        <a:ln w="9525">
          <a:solidFill>
            <a:srgbClr val="000000"/>
          </a:solidFill>
          <a:round/>
          <a:headEnd/>
          <a:tailEnd/>
        </a:ln>
      </xdr:spPr>
    </xdr:sp>
    <xdr:clientData/>
  </xdr:twoCellAnchor>
  <xdr:twoCellAnchor>
    <xdr:from>
      <xdr:col>2</xdr:col>
      <xdr:colOff>342900</xdr:colOff>
      <xdr:row>28</xdr:row>
      <xdr:rowOff>152400</xdr:rowOff>
    </xdr:from>
    <xdr:to>
      <xdr:col>2</xdr:col>
      <xdr:colOff>342900</xdr:colOff>
      <xdr:row>30</xdr:row>
      <xdr:rowOff>123825</xdr:rowOff>
    </xdr:to>
    <xdr:sp macro="" textlink="">
      <xdr:nvSpPr>
        <xdr:cNvPr id="13" name="Line 12"/>
        <xdr:cNvSpPr>
          <a:spLocks noChangeShapeType="1"/>
        </xdr:cNvSpPr>
      </xdr:nvSpPr>
      <xdr:spPr bwMode="auto">
        <a:xfrm>
          <a:off x="1619250" y="4572000"/>
          <a:ext cx="0" cy="295275"/>
        </a:xfrm>
        <a:prstGeom prst="line">
          <a:avLst/>
        </a:prstGeom>
        <a:noFill/>
        <a:ln w="9525">
          <a:solidFill>
            <a:srgbClr val="000000"/>
          </a:solidFill>
          <a:round/>
          <a:headEnd/>
          <a:tailEnd/>
        </a:ln>
      </xdr:spPr>
    </xdr:sp>
    <xdr:clientData/>
  </xdr:twoCellAnchor>
  <xdr:twoCellAnchor>
    <xdr:from>
      <xdr:col>3</xdr:col>
      <xdr:colOff>200025</xdr:colOff>
      <xdr:row>22</xdr:row>
      <xdr:rowOff>76200</xdr:rowOff>
    </xdr:from>
    <xdr:to>
      <xdr:col>3</xdr:col>
      <xdr:colOff>209550</xdr:colOff>
      <xdr:row>22</xdr:row>
      <xdr:rowOff>85725</xdr:rowOff>
    </xdr:to>
    <xdr:sp macro="" textlink="">
      <xdr:nvSpPr>
        <xdr:cNvPr id="14" name="Line 13"/>
        <xdr:cNvSpPr>
          <a:spLocks noChangeShapeType="1"/>
        </xdr:cNvSpPr>
      </xdr:nvSpPr>
      <xdr:spPr bwMode="auto">
        <a:xfrm>
          <a:off x="2085975" y="3524250"/>
          <a:ext cx="9525" cy="9525"/>
        </a:xfrm>
        <a:prstGeom prst="line">
          <a:avLst/>
        </a:prstGeom>
        <a:noFill/>
        <a:ln w="9525">
          <a:solidFill>
            <a:srgbClr val="000000"/>
          </a:solidFill>
          <a:round/>
          <a:headEnd/>
          <a:tailEnd/>
        </a:ln>
      </xdr:spPr>
    </xdr:sp>
    <xdr:clientData/>
  </xdr:twoCellAnchor>
  <xdr:twoCellAnchor>
    <xdr:from>
      <xdr:col>3</xdr:col>
      <xdr:colOff>123825</xdr:colOff>
      <xdr:row>26</xdr:row>
      <xdr:rowOff>85725</xdr:rowOff>
    </xdr:from>
    <xdr:to>
      <xdr:col>4</xdr:col>
      <xdr:colOff>28575</xdr:colOff>
      <xdr:row>26</xdr:row>
      <xdr:rowOff>85725</xdr:rowOff>
    </xdr:to>
    <xdr:sp macro="" textlink="">
      <xdr:nvSpPr>
        <xdr:cNvPr id="15" name="Line 14"/>
        <xdr:cNvSpPr>
          <a:spLocks noChangeShapeType="1"/>
        </xdr:cNvSpPr>
      </xdr:nvSpPr>
      <xdr:spPr bwMode="auto">
        <a:xfrm>
          <a:off x="2009775" y="4181475"/>
          <a:ext cx="514350" cy="0"/>
        </a:xfrm>
        <a:prstGeom prst="line">
          <a:avLst/>
        </a:prstGeom>
        <a:noFill/>
        <a:ln w="9525">
          <a:solidFill>
            <a:srgbClr val="000000"/>
          </a:solidFill>
          <a:round/>
          <a:headEnd/>
          <a:tailEnd/>
        </a:ln>
      </xdr:spPr>
    </xdr:sp>
    <xdr:clientData/>
  </xdr:twoCellAnchor>
  <xdr:twoCellAnchor>
    <xdr:from>
      <xdr:col>4</xdr:col>
      <xdr:colOff>295275</xdr:colOff>
      <xdr:row>26</xdr:row>
      <xdr:rowOff>76200</xdr:rowOff>
    </xdr:from>
    <xdr:to>
      <xdr:col>4</xdr:col>
      <xdr:colOff>600075</xdr:colOff>
      <xdr:row>26</xdr:row>
      <xdr:rowOff>76200</xdr:rowOff>
    </xdr:to>
    <xdr:sp macro="" textlink="">
      <xdr:nvSpPr>
        <xdr:cNvPr id="16" name="Line 15"/>
        <xdr:cNvSpPr>
          <a:spLocks noChangeShapeType="1"/>
        </xdr:cNvSpPr>
      </xdr:nvSpPr>
      <xdr:spPr bwMode="auto">
        <a:xfrm flipH="1">
          <a:off x="2790825" y="4171950"/>
          <a:ext cx="304800" cy="0"/>
        </a:xfrm>
        <a:prstGeom prst="line">
          <a:avLst/>
        </a:prstGeom>
        <a:noFill/>
        <a:ln w="9525">
          <a:solidFill>
            <a:srgbClr val="000000"/>
          </a:solidFill>
          <a:round/>
          <a:headEnd/>
          <a:tailEnd/>
        </a:ln>
      </xdr:spPr>
    </xdr:sp>
    <xdr:clientData/>
  </xdr:twoCellAnchor>
  <xdr:twoCellAnchor>
    <xdr:from>
      <xdr:col>2</xdr:col>
      <xdr:colOff>476250</xdr:colOff>
      <xdr:row>15</xdr:row>
      <xdr:rowOff>19050</xdr:rowOff>
    </xdr:from>
    <xdr:to>
      <xdr:col>4</xdr:col>
      <xdr:colOff>0</xdr:colOff>
      <xdr:row>15</xdr:row>
      <xdr:rowOff>19050</xdr:rowOff>
    </xdr:to>
    <xdr:sp macro="" textlink="">
      <xdr:nvSpPr>
        <xdr:cNvPr id="17" name="Line 16"/>
        <xdr:cNvSpPr>
          <a:spLocks noChangeShapeType="1"/>
        </xdr:cNvSpPr>
      </xdr:nvSpPr>
      <xdr:spPr bwMode="auto">
        <a:xfrm>
          <a:off x="1752600" y="2333625"/>
          <a:ext cx="742950" cy="0"/>
        </a:xfrm>
        <a:prstGeom prst="line">
          <a:avLst/>
        </a:prstGeom>
        <a:noFill/>
        <a:ln w="9525">
          <a:solidFill>
            <a:srgbClr val="000000"/>
          </a:solidFill>
          <a:round/>
          <a:headEnd/>
          <a:tailEnd/>
        </a:ln>
      </xdr:spPr>
    </xdr:sp>
    <xdr:clientData/>
  </xdr:twoCellAnchor>
  <xdr:twoCellAnchor>
    <xdr:from>
      <xdr:col>4</xdr:col>
      <xdr:colOff>409575</xdr:colOff>
      <xdr:row>15</xdr:row>
      <xdr:rowOff>19050</xdr:rowOff>
    </xdr:from>
    <xdr:to>
      <xdr:col>5</xdr:col>
      <xdr:colOff>276225</xdr:colOff>
      <xdr:row>15</xdr:row>
      <xdr:rowOff>19050</xdr:rowOff>
    </xdr:to>
    <xdr:sp macro="" textlink="">
      <xdr:nvSpPr>
        <xdr:cNvPr id="18" name="Line 17"/>
        <xdr:cNvSpPr>
          <a:spLocks noChangeShapeType="1"/>
        </xdr:cNvSpPr>
      </xdr:nvSpPr>
      <xdr:spPr bwMode="auto">
        <a:xfrm>
          <a:off x="2905125" y="2333625"/>
          <a:ext cx="485775" cy="0"/>
        </a:xfrm>
        <a:prstGeom prst="line">
          <a:avLst/>
        </a:prstGeom>
        <a:noFill/>
        <a:ln w="9525">
          <a:solidFill>
            <a:srgbClr val="000000"/>
          </a:solidFill>
          <a:round/>
          <a:headEnd/>
          <a:tailEnd/>
        </a:ln>
      </xdr:spPr>
    </xdr:sp>
    <xdr:clientData/>
  </xdr:twoCellAnchor>
  <xdr:twoCellAnchor>
    <xdr:from>
      <xdr:col>5</xdr:col>
      <xdr:colOff>523875</xdr:colOff>
      <xdr:row>14</xdr:row>
      <xdr:rowOff>104775</xdr:rowOff>
    </xdr:from>
    <xdr:to>
      <xdr:col>5</xdr:col>
      <xdr:colOff>523875</xdr:colOff>
      <xdr:row>15</xdr:row>
      <xdr:rowOff>47625</xdr:rowOff>
    </xdr:to>
    <xdr:sp macro="" textlink="">
      <xdr:nvSpPr>
        <xdr:cNvPr id="19" name="Line 18"/>
        <xdr:cNvSpPr>
          <a:spLocks noChangeShapeType="1"/>
        </xdr:cNvSpPr>
      </xdr:nvSpPr>
      <xdr:spPr bwMode="auto">
        <a:xfrm>
          <a:off x="3638550" y="2257425"/>
          <a:ext cx="0" cy="104775"/>
        </a:xfrm>
        <a:prstGeom prst="line">
          <a:avLst/>
        </a:prstGeom>
        <a:noFill/>
        <a:ln w="9525">
          <a:solidFill>
            <a:srgbClr val="000000"/>
          </a:solidFill>
          <a:round/>
          <a:headEnd/>
          <a:tailEnd/>
        </a:ln>
      </xdr:spPr>
    </xdr:sp>
    <xdr:clientData/>
  </xdr:twoCellAnchor>
  <xdr:twoCellAnchor>
    <xdr:from>
      <xdr:col>2</xdr:col>
      <xdr:colOff>447675</xdr:colOff>
      <xdr:row>30</xdr:row>
      <xdr:rowOff>38100</xdr:rowOff>
    </xdr:from>
    <xdr:to>
      <xdr:col>2</xdr:col>
      <xdr:colOff>447675</xdr:colOff>
      <xdr:row>31</xdr:row>
      <xdr:rowOff>57150</xdr:rowOff>
    </xdr:to>
    <xdr:sp macro="" textlink="">
      <xdr:nvSpPr>
        <xdr:cNvPr id="20" name="Line 19"/>
        <xdr:cNvSpPr>
          <a:spLocks noChangeShapeType="1"/>
        </xdr:cNvSpPr>
      </xdr:nvSpPr>
      <xdr:spPr bwMode="auto">
        <a:xfrm flipV="1">
          <a:off x="1724025" y="4781550"/>
          <a:ext cx="0" cy="180975"/>
        </a:xfrm>
        <a:prstGeom prst="line">
          <a:avLst/>
        </a:prstGeom>
        <a:noFill/>
        <a:ln w="9525">
          <a:solidFill>
            <a:srgbClr val="000000"/>
          </a:solidFill>
          <a:round/>
          <a:headEnd/>
          <a:tailEnd/>
        </a:ln>
      </xdr:spPr>
    </xdr:sp>
    <xdr:clientData/>
  </xdr:twoCellAnchor>
  <xdr:twoCellAnchor>
    <xdr:from>
      <xdr:col>5</xdr:col>
      <xdr:colOff>323850</xdr:colOff>
      <xdr:row>30</xdr:row>
      <xdr:rowOff>47625</xdr:rowOff>
    </xdr:from>
    <xdr:to>
      <xdr:col>5</xdr:col>
      <xdr:colOff>323850</xdr:colOff>
      <xdr:row>31</xdr:row>
      <xdr:rowOff>47625</xdr:rowOff>
    </xdr:to>
    <xdr:sp macro="" textlink="">
      <xdr:nvSpPr>
        <xdr:cNvPr id="21" name="Line 20"/>
        <xdr:cNvSpPr>
          <a:spLocks noChangeShapeType="1"/>
        </xdr:cNvSpPr>
      </xdr:nvSpPr>
      <xdr:spPr bwMode="auto">
        <a:xfrm>
          <a:off x="3438525" y="4791075"/>
          <a:ext cx="0" cy="161925"/>
        </a:xfrm>
        <a:prstGeom prst="line">
          <a:avLst/>
        </a:prstGeom>
        <a:noFill/>
        <a:ln w="9525">
          <a:solidFill>
            <a:srgbClr val="000000"/>
          </a:solidFill>
          <a:round/>
          <a:headEnd/>
          <a:tailEnd/>
        </a:ln>
      </xdr:spPr>
    </xdr:sp>
    <xdr:clientData/>
  </xdr:twoCellAnchor>
  <xdr:twoCellAnchor>
    <xdr:from>
      <xdr:col>5</xdr:col>
      <xdr:colOff>276225</xdr:colOff>
      <xdr:row>30</xdr:row>
      <xdr:rowOff>133350</xdr:rowOff>
    </xdr:from>
    <xdr:to>
      <xdr:col>5</xdr:col>
      <xdr:colOff>323850</xdr:colOff>
      <xdr:row>30</xdr:row>
      <xdr:rowOff>133350</xdr:rowOff>
    </xdr:to>
    <xdr:sp macro="" textlink="">
      <xdr:nvSpPr>
        <xdr:cNvPr id="22" name="Line 21"/>
        <xdr:cNvSpPr>
          <a:spLocks noChangeShapeType="1"/>
        </xdr:cNvSpPr>
      </xdr:nvSpPr>
      <xdr:spPr bwMode="auto">
        <a:xfrm>
          <a:off x="3390900" y="4876800"/>
          <a:ext cx="47625" cy="0"/>
        </a:xfrm>
        <a:prstGeom prst="line">
          <a:avLst/>
        </a:prstGeom>
        <a:noFill/>
        <a:ln w="9525">
          <a:solidFill>
            <a:srgbClr val="000000"/>
          </a:solidFill>
          <a:round/>
          <a:headEnd/>
          <a:tailEnd/>
        </a:ln>
      </xdr:spPr>
    </xdr:sp>
    <xdr:clientData/>
  </xdr:twoCellAnchor>
  <xdr:twoCellAnchor>
    <xdr:from>
      <xdr:col>2</xdr:col>
      <xdr:colOff>466725</xdr:colOff>
      <xdr:row>30</xdr:row>
      <xdr:rowOff>142875</xdr:rowOff>
    </xdr:from>
    <xdr:to>
      <xdr:col>2</xdr:col>
      <xdr:colOff>514350</xdr:colOff>
      <xdr:row>30</xdr:row>
      <xdr:rowOff>142875</xdr:rowOff>
    </xdr:to>
    <xdr:sp macro="" textlink="">
      <xdr:nvSpPr>
        <xdr:cNvPr id="23" name="Line 22"/>
        <xdr:cNvSpPr>
          <a:spLocks noChangeShapeType="1"/>
        </xdr:cNvSpPr>
      </xdr:nvSpPr>
      <xdr:spPr bwMode="auto">
        <a:xfrm>
          <a:off x="1743075" y="4886325"/>
          <a:ext cx="47625"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24" name="Line 23"/>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25" name="Line 24"/>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26" name="Line 25"/>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27" name="Line 26"/>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3</xdr:col>
      <xdr:colOff>152400</xdr:colOff>
      <xdr:row>30</xdr:row>
      <xdr:rowOff>38100</xdr:rowOff>
    </xdr:from>
    <xdr:to>
      <xdr:col>3</xdr:col>
      <xdr:colOff>161925</xdr:colOff>
      <xdr:row>30</xdr:row>
      <xdr:rowOff>38100</xdr:rowOff>
    </xdr:to>
    <xdr:sp macro="" textlink="">
      <xdr:nvSpPr>
        <xdr:cNvPr id="28" name="Oval 27"/>
        <xdr:cNvSpPr>
          <a:spLocks noChangeArrowheads="1"/>
        </xdr:cNvSpPr>
      </xdr:nvSpPr>
      <xdr:spPr bwMode="auto">
        <a:xfrm>
          <a:off x="2038350" y="4781550"/>
          <a:ext cx="9525" cy="0"/>
        </a:xfrm>
        <a:prstGeom prst="ellipse">
          <a:avLst/>
        </a:prstGeom>
        <a:noFill/>
        <a:ln w="9525">
          <a:solidFill>
            <a:srgbClr val="000000"/>
          </a:solidFill>
          <a:round/>
          <a:headEnd/>
          <a:tailEnd/>
        </a:ln>
      </xdr:spPr>
    </xdr:sp>
    <xdr:clientData/>
  </xdr:twoCellAnchor>
  <xdr:twoCellAnchor>
    <xdr:from>
      <xdr:col>3</xdr:col>
      <xdr:colOff>152400</xdr:colOff>
      <xdr:row>30</xdr:row>
      <xdr:rowOff>47625</xdr:rowOff>
    </xdr:from>
    <xdr:to>
      <xdr:col>3</xdr:col>
      <xdr:colOff>171450</xdr:colOff>
      <xdr:row>30</xdr:row>
      <xdr:rowOff>47625</xdr:rowOff>
    </xdr:to>
    <xdr:sp macro="" textlink="">
      <xdr:nvSpPr>
        <xdr:cNvPr id="29" name="Oval 28"/>
        <xdr:cNvSpPr>
          <a:spLocks noChangeArrowheads="1"/>
        </xdr:cNvSpPr>
      </xdr:nvSpPr>
      <xdr:spPr bwMode="auto">
        <a:xfrm>
          <a:off x="2038350" y="4791075"/>
          <a:ext cx="19050" cy="0"/>
        </a:xfrm>
        <a:prstGeom prst="ellipse">
          <a:avLst/>
        </a:prstGeom>
        <a:noFill/>
        <a:ln w="9525">
          <a:solidFill>
            <a:srgbClr val="000000"/>
          </a:solidFill>
          <a:round/>
          <a:headEnd/>
          <a:tailEnd/>
        </a:ln>
      </xdr:spPr>
    </xdr:sp>
    <xdr:clientData/>
  </xdr:twoCellAnchor>
  <xdr:twoCellAnchor>
    <xdr:from>
      <xdr:col>3</xdr:col>
      <xdr:colOff>161925</xdr:colOff>
      <xdr:row>30</xdr:row>
      <xdr:rowOff>38100</xdr:rowOff>
    </xdr:from>
    <xdr:to>
      <xdr:col>3</xdr:col>
      <xdr:colOff>171450</xdr:colOff>
      <xdr:row>30</xdr:row>
      <xdr:rowOff>47625</xdr:rowOff>
    </xdr:to>
    <xdr:sp macro="" textlink="">
      <xdr:nvSpPr>
        <xdr:cNvPr id="30" name="Rectangle 29"/>
        <xdr:cNvSpPr>
          <a:spLocks noChangeArrowheads="1"/>
        </xdr:cNvSpPr>
      </xdr:nvSpPr>
      <xdr:spPr bwMode="auto">
        <a:xfrm>
          <a:off x="2047875" y="4781550"/>
          <a:ext cx="9525" cy="9525"/>
        </a:xfrm>
        <a:prstGeom prst="rect">
          <a:avLst/>
        </a:prstGeom>
        <a:noFill/>
        <a:ln w="9525">
          <a:solidFill>
            <a:srgbClr val="000000"/>
          </a:solidFill>
          <a:miter lim="800000"/>
          <a:headEnd/>
          <a:tailEnd/>
        </a:ln>
      </xdr:spPr>
    </xdr:sp>
    <xdr:clientData/>
  </xdr:twoCellAnchor>
  <xdr:twoCellAnchor>
    <xdr:from>
      <xdr:col>4</xdr:col>
      <xdr:colOff>542925</xdr:colOff>
      <xdr:row>26</xdr:row>
      <xdr:rowOff>28575</xdr:rowOff>
    </xdr:from>
    <xdr:to>
      <xdr:col>5</xdr:col>
      <xdr:colOff>28575</xdr:colOff>
      <xdr:row>26</xdr:row>
      <xdr:rowOff>133350</xdr:rowOff>
    </xdr:to>
    <xdr:sp macro="" textlink="">
      <xdr:nvSpPr>
        <xdr:cNvPr id="31" name="Line 30"/>
        <xdr:cNvSpPr>
          <a:spLocks noChangeShapeType="1"/>
        </xdr:cNvSpPr>
      </xdr:nvSpPr>
      <xdr:spPr bwMode="auto">
        <a:xfrm flipH="1">
          <a:off x="3038475" y="4124325"/>
          <a:ext cx="104775" cy="104775"/>
        </a:xfrm>
        <a:prstGeom prst="line">
          <a:avLst/>
        </a:prstGeom>
        <a:noFill/>
        <a:ln w="9525">
          <a:solidFill>
            <a:srgbClr val="000000"/>
          </a:solidFill>
          <a:round/>
          <a:headEnd/>
          <a:tailEnd/>
        </a:ln>
      </xdr:spPr>
    </xdr:sp>
    <xdr:clientData/>
  </xdr:twoCellAnchor>
  <xdr:twoCellAnchor>
    <xdr:from>
      <xdr:col>2</xdr:col>
      <xdr:colOff>590550</xdr:colOff>
      <xdr:row>16</xdr:row>
      <xdr:rowOff>0</xdr:rowOff>
    </xdr:from>
    <xdr:to>
      <xdr:col>2</xdr:col>
      <xdr:colOff>590550</xdr:colOff>
      <xdr:row>28</xdr:row>
      <xdr:rowOff>9525</xdr:rowOff>
    </xdr:to>
    <xdr:sp macro="" textlink="">
      <xdr:nvSpPr>
        <xdr:cNvPr id="32" name="Line 31"/>
        <xdr:cNvSpPr>
          <a:spLocks noChangeShapeType="1"/>
        </xdr:cNvSpPr>
      </xdr:nvSpPr>
      <xdr:spPr bwMode="auto">
        <a:xfrm flipH="1" flipV="1">
          <a:off x="1866900" y="2476500"/>
          <a:ext cx="0" cy="1952625"/>
        </a:xfrm>
        <a:prstGeom prst="line">
          <a:avLst/>
        </a:prstGeom>
        <a:noFill/>
        <a:ln w="9525">
          <a:solidFill>
            <a:srgbClr val="000000"/>
          </a:solidFill>
          <a:round/>
          <a:headEnd/>
          <a:tailEnd/>
        </a:ln>
      </xdr:spPr>
    </xdr:sp>
    <xdr:clientData/>
  </xdr:twoCellAnchor>
  <xdr:twoCellAnchor>
    <xdr:from>
      <xdr:col>5</xdr:col>
      <xdr:colOff>190500</xdr:colOff>
      <xdr:row>16</xdr:row>
      <xdr:rowOff>9525</xdr:rowOff>
    </xdr:from>
    <xdr:to>
      <xdr:col>5</xdr:col>
      <xdr:colOff>190500</xdr:colOff>
      <xdr:row>28</xdr:row>
      <xdr:rowOff>28575</xdr:rowOff>
    </xdr:to>
    <xdr:sp macro="" textlink="">
      <xdr:nvSpPr>
        <xdr:cNvPr id="33" name="Line 32"/>
        <xdr:cNvSpPr>
          <a:spLocks noChangeShapeType="1"/>
        </xdr:cNvSpPr>
      </xdr:nvSpPr>
      <xdr:spPr bwMode="auto">
        <a:xfrm flipV="1">
          <a:off x="3305175" y="2486025"/>
          <a:ext cx="0" cy="1962150"/>
        </a:xfrm>
        <a:prstGeom prst="line">
          <a:avLst/>
        </a:prstGeom>
        <a:noFill/>
        <a:ln w="9525">
          <a:solidFill>
            <a:srgbClr val="000000"/>
          </a:solidFill>
          <a:round/>
          <a:headEnd/>
          <a:tailEnd/>
        </a:ln>
      </xdr:spPr>
    </xdr:sp>
    <xdr:clientData/>
  </xdr:twoCellAnchor>
  <xdr:twoCellAnchor>
    <xdr:from>
      <xdr:col>2</xdr:col>
      <xdr:colOff>428625</xdr:colOff>
      <xdr:row>28</xdr:row>
      <xdr:rowOff>9525</xdr:rowOff>
    </xdr:from>
    <xdr:to>
      <xdr:col>3</xdr:col>
      <xdr:colOff>209550</xdr:colOff>
      <xdr:row>28</xdr:row>
      <xdr:rowOff>9525</xdr:rowOff>
    </xdr:to>
    <xdr:sp macro="" textlink="">
      <xdr:nvSpPr>
        <xdr:cNvPr id="34" name="Line 33"/>
        <xdr:cNvSpPr>
          <a:spLocks noChangeShapeType="1"/>
        </xdr:cNvSpPr>
      </xdr:nvSpPr>
      <xdr:spPr bwMode="auto">
        <a:xfrm>
          <a:off x="1704975" y="4429125"/>
          <a:ext cx="390525" cy="0"/>
        </a:xfrm>
        <a:prstGeom prst="line">
          <a:avLst/>
        </a:prstGeom>
        <a:noFill/>
        <a:ln w="9525">
          <a:solidFill>
            <a:srgbClr val="000000"/>
          </a:solidFill>
          <a:round/>
          <a:headEnd/>
          <a:tailEnd/>
        </a:ln>
      </xdr:spPr>
    </xdr:sp>
    <xdr:clientData/>
  </xdr:twoCellAnchor>
  <xdr:twoCellAnchor>
    <xdr:from>
      <xdr:col>2</xdr:col>
      <xdr:colOff>457200</xdr:colOff>
      <xdr:row>28</xdr:row>
      <xdr:rowOff>9525</xdr:rowOff>
    </xdr:from>
    <xdr:to>
      <xdr:col>2</xdr:col>
      <xdr:colOff>457200</xdr:colOff>
      <xdr:row>30</xdr:row>
      <xdr:rowOff>114300</xdr:rowOff>
    </xdr:to>
    <xdr:sp macro="" textlink="">
      <xdr:nvSpPr>
        <xdr:cNvPr id="35" name="Line 34"/>
        <xdr:cNvSpPr>
          <a:spLocks noChangeShapeType="1"/>
        </xdr:cNvSpPr>
      </xdr:nvSpPr>
      <xdr:spPr bwMode="auto">
        <a:xfrm flipV="1">
          <a:off x="1733550" y="4429125"/>
          <a:ext cx="0" cy="428625"/>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9525</xdr:rowOff>
    </xdr:to>
    <xdr:sp macro="" textlink="">
      <xdr:nvSpPr>
        <xdr:cNvPr id="36" name="Line 35"/>
        <xdr:cNvSpPr>
          <a:spLocks noChangeShapeType="1"/>
        </xdr:cNvSpPr>
      </xdr:nvSpPr>
      <xdr:spPr bwMode="auto">
        <a:xfrm flipV="1">
          <a:off x="4352925" y="4581525"/>
          <a:ext cx="0" cy="9525"/>
        </a:xfrm>
        <a:prstGeom prst="line">
          <a:avLst/>
        </a:prstGeom>
        <a:noFill/>
        <a:ln w="9525">
          <a:solidFill>
            <a:srgbClr val="000000"/>
          </a:solidFill>
          <a:round/>
          <a:headEnd/>
          <a:tailEnd/>
        </a:ln>
      </xdr:spPr>
    </xdr:sp>
    <xdr:clientData/>
  </xdr:twoCellAnchor>
  <xdr:twoCellAnchor>
    <xdr:from>
      <xdr:col>4</xdr:col>
      <xdr:colOff>600075</xdr:colOff>
      <xdr:row>28</xdr:row>
      <xdr:rowOff>0</xdr:rowOff>
    </xdr:from>
    <xdr:to>
      <xdr:col>5</xdr:col>
      <xdr:colOff>371475</xdr:colOff>
      <xdr:row>28</xdr:row>
      <xdr:rowOff>0</xdr:rowOff>
    </xdr:to>
    <xdr:sp macro="" textlink="">
      <xdr:nvSpPr>
        <xdr:cNvPr id="37" name="Line 36"/>
        <xdr:cNvSpPr>
          <a:spLocks noChangeShapeType="1"/>
        </xdr:cNvSpPr>
      </xdr:nvSpPr>
      <xdr:spPr bwMode="auto">
        <a:xfrm>
          <a:off x="3095625" y="4419600"/>
          <a:ext cx="390525" cy="0"/>
        </a:xfrm>
        <a:prstGeom prst="line">
          <a:avLst/>
        </a:prstGeom>
        <a:noFill/>
        <a:ln w="9525">
          <a:solidFill>
            <a:srgbClr val="000000"/>
          </a:solidFill>
          <a:round/>
          <a:headEnd/>
          <a:tailEnd/>
        </a:ln>
      </xdr:spPr>
    </xdr:sp>
    <xdr:clientData/>
  </xdr:twoCellAnchor>
  <xdr:twoCellAnchor>
    <xdr:from>
      <xdr:col>5</xdr:col>
      <xdr:colOff>304800</xdr:colOff>
      <xdr:row>28</xdr:row>
      <xdr:rowOff>9525</xdr:rowOff>
    </xdr:from>
    <xdr:to>
      <xdr:col>5</xdr:col>
      <xdr:colOff>304800</xdr:colOff>
      <xdr:row>30</xdr:row>
      <xdr:rowOff>123825</xdr:rowOff>
    </xdr:to>
    <xdr:sp macro="" textlink="">
      <xdr:nvSpPr>
        <xdr:cNvPr id="38" name="Line 37"/>
        <xdr:cNvSpPr>
          <a:spLocks noChangeShapeType="1"/>
        </xdr:cNvSpPr>
      </xdr:nvSpPr>
      <xdr:spPr bwMode="auto">
        <a:xfrm>
          <a:off x="3419475" y="4429125"/>
          <a:ext cx="0" cy="438150"/>
        </a:xfrm>
        <a:prstGeom prst="line">
          <a:avLst/>
        </a:prstGeom>
        <a:noFill/>
        <a:ln w="9525">
          <a:solidFill>
            <a:srgbClr val="000000"/>
          </a:solidFill>
          <a:round/>
          <a:headEnd/>
          <a:tailEnd/>
        </a:ln>
      </xdr:spPr>
    </xdr:sp>
    <xdr:clientData/>
  </xdr:twoCellAnchor>
  <xdr:twoCellAnchor>
    <xdr:from>
      <xdr:col>2</xdr:col>
      <xdr:colOff>323850</xdr:colOff>
      <xdr:row>15</xdr:row>
      <xdr:rowOff>85725</xdr:rowOff>
    </xdr:from>
    <xdr:to>
      <xdr:col>5</xdr:col>
      <xdr:colOff>533400</xdr:colOff>
      <xdr:row>16</xdr:row>
      <xdr:rowOff>9525</xdr:rowOff>
    </xdr:to>
    <xdr:sp macro="" textlink="">
      <xdr:nvSpPr>
        <xdr:cNvPr id="39" name="Rectangle 38"/>
        <xdr:cNvSpPr>
          <a:spLocks noChangeArrowheads="1"/>
        </xdr:cNvSpPr>
      </xdr:nvSpPr>
      <xdr:spPr bwMode="auto">
        <a:xfrm>
          <a:off x="1600200" y="2400300"/>
          <a:ext cx="2047875" cy="85725"/>
        </a:xfrm>
        <a:prstGeom prst="rect">
          <a:avLst/>
        </a:prstGeom>
        <a:noFill/>
        <a:ln w="9525">
          <a:solidFill>
            <a:srgbClr val="000000"/>
          </a:solidFill>
          <a:miter lim="800000"/>
          <a:headEnd/>
          <a:tailEnd/>
        </a:ln>
      </xdr:spPr>
    </xdr:sp>
    <xdr:clientData/>
  </xdr:twoCellAnchor>
  <xdr:twoCellAnchor>
    <xdr:from>
      <xdr:col>7</xdr:col>
      <xdr:colOff>0</xdr:colOff>
      <xdr:row>24</xdr:row>
      <xdr:rowOff>152400</xdr:rowOff>
    </xdr:from>
    <xdr:to>
      <xdr:col>7</xdr:col>
      <xdr:colOff>0</xdr:colOff>
      <xdr:row>25</xdr:row>
      <xdr:rowOff>0</xdr:rowOff>
    </xdr:to>
    <xdr:sp macro="" textlink="">
      <xdr:nvSpPr>
        <xdr:cNvPr id="40" name="Line 39"/>
        <xdr:cNvSpPr>
          <a:spLocks noChangeShapeType="1"/>
        </xdr:cNvSpPr>
      </xdr:nvSpPr>
      <xdr:spPr bwMode="auto">
        <a:xfrm flipV="1">
          <a:off x="4352925" y="3924300"/>
          <a:ext cx="0" cy="9525"/>
        </a:xfrm>
        <a:prstGeom prst="line">
          <a:avLst/>
        </a:prstGeom>
        <a:noFill/>
        <a:ln w="9525">
          <a:solidFill>
            <a:srgbClr val="000000"/>
          </a:solidFill>
          <a:round/>
          <a:headEnd/>
          <a:tailEnd/>
        </a:ln>
      </xdr:spPr>
    </xdr:sp>
    <xdr:clientData/>
  </xdr:twoCellAnchor>
  <xdr:twoCellAnchor>
    <xdr:from>
      <xdr:col>5</xdr:col>
      <xdr:colOff>228600</xdr:colOff>
      <xdr:row>18</xdr:row>
      <xdr:rowOff>0</xdr:rowOff>
    </xdr:from>
    <xdr:to>
      <xdr:col>6</xdr:col>
      <xdr:colOff>361950</xdr:colOff>
      <xdr:row>18</xdr:row>
      <xdr:rowOff>0</xdr:rowOff>
    </xdr:to>
    <xdr:sp macro="" textlink="">
      <xdr:nvSpPr>
        <xdr:cNvPr id="41" name="Line 40"/>
        <xdr:cNvSpPr>
          <a:spLocks noChangeShapeType="1"/>
        </xdr:cNvSpPr>
      </xdr:nvSpPr>
      <xdr:spPr bwMode="auto">
        <a:xfrm>
          <a:off x="3343275" y="2800350"/>
          <a:ext cx="752475" cy="0"/>
        </a:xfrm>
        <a:prstGeom prst="line">
          <a:avLst/>
        </a:prstGeom>
        <a:noFill/>
        <a:ln w="9525">
          <a:solidFill>
            <a:srgbClr val="000000"/>
          </a:solidFill>
          <a:round/>
          <a:headEnd/>
          <a:tailEnd/>
        </a:ln>
      </xdr:spPr>
    </xdr:sp>
    <xdr:clientData/>
  </xdr:twoCellAnchor>
  <xdr:twoCellAnchor>
    <xdr:from>
      <xdr:col>1</xdr:col>
      <xdr:colOff>314325</xdr:colOff>
      <xdr:row>17</xdr:row>
      <xdr:rowOff>152400</xdr:rowOff>
    </xdr:from>
    <xdr:to>
      <xdr:col>3</xdr:col>
      <xdr:colOff>9525</xdr:colOff>
      <xdr:row>17</xdr:row>
      <xdr:rowOff>152400</xdr:rowOff>
    </xdr:to>
    <xdr:sp macro="" textlink="">
      <xdr:nvSpPr>
        <xdr:cNvPr id="42" name="Line 41"/>
        <xdr:cNvSpPr>
          <a:spLocks noChangeShapeType="1"/>
        </xdr:cNvSpPr>
      </xdr:nvSpPr>
      <xdr:spPr bwMode="auto">
        <a:xfrm>
          <a:off x="933450" y="2790825"/>
          <a:ext cx="962025" cy="0"/>
        </a:xfrm>
        <a:prstGeom prst="line">
          <a:avLst/>
        </a:prstGeom>
        <a:noFill/>
        <a:ln w="9525">
          <a:solidFill>
            <a:srgbClr val="000000"/>
          </a:solidFill>
          <a:round/>
          <a:headEnd/>
          <a:tailEnd/>
        </a:ln>
      </xdr:spPr>
    </xdr:sp>
    <xdr:clientData/>
  </xdr:twoCellAnchor>
  <xdr:twoCellAnchor>
    <xdr:from>
      <xdr:col>2</xdr:col>
      <xdr:colOff>85725</xdr:colOff>
      <xdr:row>28</xdr:row>
      <xdr:rowOff>0</xdr:rowOff>
    </xdr:from>
    <xdr:to>
      <xdr:col>2</xdr:col>
      <xdr:colOff>409575</xdr:colOff>
      <xdr:row>28</xdr:row>
      <xdr:rowOff>0</xdr:rowOff>
    </xdr:to>
    <xdr:sp macro="" textlink="">
      <xdr:nvSpPr>
        <xdr:cNvPr id="43" name="Line 42"/>
        <xdr:cNvSpPr>
          <a:spLocks noChangeShapeType="1"/>
        </xdr:cNvSpPr>
      </xdr:nvSpPr>
      <xdr:spPr bwMode="auto">
        <a:xfrm>
          <a:off x="1362075" y="4419600"/>
          <a:ext cx="323850" cy="0"/>
        </a:xfrm>
        <a:prstGeom prst="line">
          <a:avLst/>
        </a:prstGeom>
        <a:noFill/>
        <a:ln w="9525">
          <a:solidFill>
            <a:srgbClr val="000000"/>
          </a:solidFill>
          <a:round/>
          <a:headEnd/>
          <a:tailEnd/>
        </a:ln>
      </xdr:spPr>
    </xdr:sp>
    <xdr:clientData/>
  </xdr:twoCellAnchor>
  <xdr:twoCellAnchor>
    <xdr:from>
      <xdr:col>2</xdr:col>
      <xdr:colOff>104775</xdr:colOff>
      <xdr:row>28</xdr:row>
      <xdr:rowOff>152400</xdr:rowOff>
    </xdr:from>
    <xdr:to>
      <xdr:col>2</xdr:col>
      <xdr:colOff>428625</xdr:colOff>
      <xdr:row>28</xdr:row>
      <xdr:rowOff>152400</xdr:rowOff>
    </xdr:to>
    <xdr:sp macro="" textlink="">
      <xdr:nvSpPr>
        <xdr:cNvPr id="44" name="Line 43"/>
        <xdr:cNvSpPr>
          <a:spLocks noChangeShapeType="1"/>
        </xdr:cNvSpPr>
      </xdr:nvSpPr>
      <xdr:spPr bwMode="auto">
        <a:xfrm>
          <a:off x="1381125" y="4572000"/>
          <a:ext cx="323850" cy="0"/>
        </a:xfrm>
        <a:prstGeom prst="line">
          <a:avLst/>
        </a:prstGeom>
        <a:noFill/>
        <a:ln w="9525">
          <a:solidFill>
            <a:srgbClr val="000000"/>
          </a:solidFill>
          <a:round/>
          <a:headEnd/>
          <a:tailEnd/>
        </a:ln>
      </xdr:spPr>
    </xdr:sp>
    <xdr:clientData/>
  </xdr:twoCellAnchor>
  <xdr:twoCellAnchor>
    <xdr:from>
      <xdr:col>2</xdr:col>
      <xdr:colOff>152400</xdr:colOff>
      <xdr:row>30</xdr:row>
      <xdr:rowOff>114300</xdr:rowOff>
    </xdr:from>
    <xdr:to>
      <xdr:col>2</xdr:col>
      <xdr:colOff>447675</xdr:colOff>
      <xdr:row>30</xdr:row>
      <xdr:rowOff>114300</xdr:rowOff>
    </xdr:to>
    <xdr:sp macro="" textlink="">
      <xdr:nvSpPr>
        <xdr:cNvPr id="45" name="Line 44"/>
        <xdr:cNvSpPr>
          <a:spLocks noChangeShapeType="1"/>
        </xdr:cNvSpPr>
      </xdr:nvSpPr>
      <xdr:spPr bwMode="auto">
        <a:xfrm>
          <a:off x="1428750" y="4857750"/>
          <a:ext cx="295275" cy="0"/>
        </a:xfrm>
        <a:prstGeom prst="line">
          <a:avLst/>
        </a:prstGeom>
        <a:noFill/>
        <a:ln w="9525">
          <a:solidFill>
            <a:srgbClr val="000000"/>
          </a:solidFill>
          <a:round/>
          <a:headEnd/>
          <a:tailEnd/>
        </a:ln>
      </xdr:spPr>
    </xdr:sp>
    <xdr:clientData/>
  </xdr:twoCellAnchor>
  <xdr:twoCellAnchor>
    <xdr:from>
      <xdr:col>2</xdr:col>
      <xdr:colOff>342900</xdr:colOff>
      <xdr:row>28</xdr:row>
      <xdr:rowOff>152400</xdr:rowOff>
    </xdr:from>
    <xdr:to>
      <xdr:col>2</xdr:col>
      <xdr:colOff>342900</xdr:colOff>
      <xdr:row>30</xdr:row>
      <xdr:rowOff>123825</xdr:rowOff>
    </xdr:to>
    <xdr:sp macro="" textlink="">
      <xdr:nvSpPr>
        <xdr:cNvPr id="46" name="Line 45"/>
        <xdr:cNvSpPr>
          <a:spLocks noChangeShapeType="1"/>
        </xdr:cNvSpPr>
      </xdr:nvSpPr>
      <xdr:spPr bwMode="auto">
        <a:xfrm>
          <a:off x="1619250" y="4572000"/>
          <a:ext cx="0" cy="295275"/>
        </a:xfrm>
        <a:prstGeom prst="line">
          <a:avLst/>
        </a:prstGeom>
        <a:noFill/>
        <a:ln w="9525">
          <a:solidFill>
            <a:srgbClr val="000000"/>
          </a:solidFill>
          <a:round/>
          <a:headEnd/>
          <a:tailEnd/>
        </a:ln>
      </xdr:spPr>
    </xdr:sp>
    <xdr:clientData/>
  </xdr:twoCellAnchor>
  <xdr:twoCellAnchor>
    <xdr:from>
      <xdr:col>3</xdr:col>
      <xdr:colOff>200025</xdr:colOff>
      <xdr:row>22</xdr:row>
      <xdr:rowOff>76200</xdr:rowOff>
    </xdr:from>
    <xdr:to>
      <xdr:col>3</xdr:col>
      <xdr:colOff>209550</xdr:colOff>
      <xdr:row>22</xdr:row>
      <xdr:rowOff>85725</xdr:rowOff>
    </xdr:to>
    <xdr:sp macro="" textlink="">
      <xdr:nvSpPr>
        <xdr:cNvPr id="47" name="Line 46"/>
        <xdr:cNvSpPr>
          <a:spLocks noChangeShapeType="1"/>
        </xdr:cNvSpPr>
      </xdr:nvSpPr>
      <xdr:spPr bwMode="auto">
        <a:xfrm>
          <a:off x="2085975" y="3524250"/>
          <a:ext cx="9525" cy="9525"/>
        </a:xfrm>
        <a:prstGeom prst="line">
          <a:avLst/>
        </a:prstGeom>
        <a:noFill/>
        <a:ln w="9525">
          <a:solidFill>
            <a:srgbClr val="000000"/>
          </a:solidFill>
          <a:round/>
          <a:headEnd/>
          <a:tailEnd/>
        </a:ln>
      </xdr:spPr>
    </xdr:sp>
    <xdr:clientData/>
  </xdr:twoCellAnchor>
  <xdr:twoCellAnchor>
    <xdr:from>
      <xdr:col>3</xdr:col>
      <xdr:colOff>123825</xdr:colOff>
      <xdr:row>26</xdr:row>
      <xdr:rowOff>85725</xdr:rowOff>
    </xdr:from>
    <xdr:to>
      <xdr:col>4</xdr:col>
      <xdr:colOff>28575</xdr:colOff>
      <xdr:row>26</xdr:row>
      <xdr:rowOff>85725</xdr:rowOff>
    </xdr:to>
    <xdr:sp macro="" textlink="">
      <xdr:nvSpPr>
        <xdr:cNvPr id="48" name="Line 47"/>
        <xdr:cNvSpPr>
          <a:spLocks noChangeShapeType="1"/>
        </xdr:cNvSpPr>
      </xdr:nvSpPr>
      <xdr:spPr bwMode="auto">
        <a:xfrm>
          <a:off x="2009775" y="4181475"/>
          <a:ext cx="514350" cy="0"/>
        </a:xfrm>
        <a:prstGeom prst="line">
          <a:avLst/>
        </a:prstGeom>
        <a:noFill/>
        <a:ln w="9525">
          <a:solidFill>
            <a:srgbClr val="000000"/>
          </a:solidFill>
          <a:round/>
          <a:headEnd/>
          <a:tailEnd/>
        </a:ln>
      </xdr:spPr>
    </xdr:sp>
    <xdr:clientData/>
  </xdr:twoCellAnchor>
  <xdr:twoCellAnchor>
    <xdr:from>
      <xdr:col>4</xdr:col>
      <xdr:colOff>295275</xdr:colOff>
      <xdr:row>26</xdr:row>
      <xdr:rowOff>76200</xdr:rowOff>
    </xdr:from>
    <xdr:to>
      <xdr:col>4</xdr:col>
      <xdr:colOff>600075</xdr:colOff>
      <xdr:row>26</xdr:row>
      <xdr:rowOff>76200</xdr:rowOff>
    </xdr:to>
    <xdr:sp macro="" textlink="">
      <xdr:nvSpPr>
        <xdr:cNvPr id="49" name="Line 48"/>
        <xdr:cNvSpPr>
          <a:spLocks noChangeShapeType="1"/>
        </xdr:cNvSpPr>
      </xdr:nvSpPr>
      <xdr:spPr bwMode="auto">
        <a:xfrm flipH="1">
          <a:off x="2790825" y="4171950"/>
          <a:ext cx="304800" cy="0"/>
        </a:xfrm>
        <a:prstGeom prst="line">
          <a:avLst/>
        </a:prstGeom>
        <a:noFill/>
        <a:ln w="9525">
          <a:solidFill>
            <a:srgbClr val="000000"/>
          </a:solidFill>
          <a:round/>
          <a:headEnd/>
          <a:tailEnd/>
        </a:ln>
      </xdr:spPr>
    </xdr:sp>
    <xdr:clientData/>
  </xdr:twoCellAnchor>
  <xdr:twoCellAnchor>
    <xdr:from>
      <xdr:col>2</xdr:col>
      <xdr:colOff>295275</xdr:colOff>
      <xdr:row>15</xdr:row>
      <xdr:rowOff>19050</xdr:rowOff>
    </xdr:from>
    <xdr:to>
      <xdr:col>4</xdr:col>
      <xdr:colOff>0</xdr:colOff>
      <xdr:row>15</xdr:row>
      <xdr:rowOff>19050</xdr:rowOff>
    </xdr:to>
    <xdr:sp macro="" textlink="">
      <xdr:nvSpPr>
        <xdr:cNvPr id="50" name="Line 49"/>
        <xdr:cNvSpPr>
          <a:spLocks noChangeShapeType="1"/>
        </xdr:cNvSpPr>
      </xdr:nvSpPr>
      <xdr:spPr bwMode="auto">
        <a:xfrm>
          <a:off x="1571625" y="2333625"/>
          <a:ext cx="923925" cy="0"/>
        </a:xfrm>
        <a:prstGeom prst="line">
          <a:avLst/>
        </a:prstGeom>
        <a:noFill/>
        <a:ln w="9525">
          <a:solidFill>
            <a:srgbClr val="000000"/>
          </a:solidFill>
          <a:round/>
          <a:headEnd/>
          <a:tailEnd/>
        </a:ln>
      </xdr:spPr>
    </xdr:sp>
    <xdr:clientData/>
  </xdr:twoCellAnchor>
  <xdr:twoCellAnchor>
    <xdr:from>
      <xdr:col>4</xdr:col>
      <xdr:colOff>409575</xdr:colOff>
      <xdr:row>15</xdr:row>
      <xdr:rowOff>19050</xdr:rowOff>
    </xdr:from>
    <xdr:to>
      <xdr:col>5</xdr:col>
      <xdr:colOff>504825</xdr:colOff>
      <xdr:row>15</xdr:row>
      <xdr:rowOff>19050</xdr:rowOff>
    </xdr:to>
    <xdr:sp macro="" textlink="">
      <xdr:nvSpPr>
        <xdr:cNvPr id="51" name="Line 50"/>
        <xdr:cNvSpPr>
          <a:spLocks noChangeShapeType="1"/>
        </xdr:cNvSpPr>
      </xdr:nvSpPr>
      <xdr:spPr bwMode="auto">
        <a:xfrm>
          <a:off x="2905125" y="2333625"/>
          <a:ext cx="714375" cy="0"/>
        </a:xfrm>
        <a:prstGeom prst="line">
          <a:avLst/>
        </a:prstGeom>
        <a:noFill/>
        <a:ln w="9525">
          <a:solidFill>
            <a:srgbClr val="000000"/>
          </a:solidFill>
          <a:round/>
          <a:headEnd/>
          <a:tailEnd/>
        </a:ln>
      </xdr:spPr>
    </xdr:sp>
    <xdr:clientData/>
  </xdr:twoCellAnchor>
  <xdr:twoCellAnchor>
    <xdr:from>
      <xdr:col>2</xdr:col>
      <xdr:colOff>323850</xdr:colOff>
      <xdr:row>14</xdr:row>
      <xdr:rowOff>152400</xdr:rowOff>
    </xdr:from>
    <xdr:to>
      <xdr:col>2</xdr:col>
      <xdr:colOff>323850</xdr:colOff>
      <xdr:row>15</xdr:row>
      <xdr:rowOff>76200</xdr:rowOff>
    </xdr:to>
    <xdr:sp macro="" textlink="">
      <xdr:nvSpPr>
        <xdr:cNvPr id="52" name="Line 51"/>
        <xdr:cNvSpPr>
          <a:spLocks noChangeShapeType="1"/>
        </xdr:cNvSpPr>
      </xdr:nvSpPr>
      <xdr:spPr bwMode="auto">
        <a:xfrm>
          <a:off x="1600200" y="2305050"/>
          <a:ext cx="0" cy="85725"/>
        </a:xfrm>
        <a:prstGeom prst="line">
          <a:avLst/>
        </a:prstGeom>
        <a:noFill/>
        <a:ln w="9525">
          <a:solidFill>
            <a:srgbClr val="000000"/>
          </a:solidFill>
          <a:round/>
          <a:headEnd/>
          <a:tailEnd/>
        </a:ln>
      </xdr:spPr>
    </xdr:sp>
    <xdr:clientData/>
  </xdr:twoCellAnchor>
  <xdr:twoCellAnchor>
    <xdr:from>
      <xdr:col>2</xdr:col>
      <xdr:colOff>447675</xdr:colOff>
      <xdr:row>30</xdr:row>
      <xdr:rowOff>38100</xdr:rowOff>
    </xdr:from>
    <xdr:to>
      <xdr:col>2</xdr:col>
      <xdr:colOff>447675</xdr:colOff>
      <xdr:row>31</xdr:row>
      <xdr:rowOff>57150</xdr:rowOff>
    </xdr:to>
    <xdr:sp macro="" textlink="">
      <xdr:nvSpPr>
        <xdr:cNvPr id="53" name="Line 52"/>
        <xdr:cNvSpPr>
          <a:spLocks noChangeShapeType="1"/>
        </xdr:cNvSpPr>
      </xdr:nvSpPr>
      <xdr:spPr bwMode="auto">
        <a:xfrm flipV="1">
          <a:off x="1724025" y="4781550"/>
          <a:ext cx="0" cy="180975"/>
        </a:xfrm>
        <a:prstGeom prst="line">
          <a:avLst/>
        </a:prstGeom>
        <a:noFill/>
        <a:ln w="9525">
          <a:solidFill>
            <a:srgbClr val="000000"/>
          </a:solidFill>
          <a:round/>
          <a:headEnd/>
          <a:tailEnd/>
        </a:ln>
      </xdr:spPr>
    </xdr:sp>
    <xdr:clientData/>
  </xdr:twoCellAnchor>
  <xdr:twoCellAnchor>
    <xdr:from>
      <xdr:col>5</xdr:col>
      <xdr:colOff>323850</xdr:colOff>
      <xdr:row>30</xdr:row>
      <xdr:rowOff>47625</xdr:rowOff>
    </xdr:from>
    <xdr:to>
      <xdr:col>5</xdr:col>
      <xdr:colOff>323850</xdr:colOff>
      <xdr:row>31</xdr:row>
      <xdr:rowOff>47625</xdr:rowOff>
    </xdr:to>
    <xdr:sp macro="" textlink="">
      <xdr:nvSpPr>
        <xdr:cNvPr id="54" name="Line 53"/>
        <xdr:cNvSpPr>
          <a:spLocks noChangeShapeType="1"/>
        </xdr:cNvSpPr>
      </xdr:nvSpPr>
      <xdr:spPr bwMode="auto">
        <a:xfrm>
          <a:off x="3438525" y="4791075"/>
          <a:ext cx="0" cy="161925"/>
        </a:xfrm>
        <a:prstGeom prst="line">
          <a:avLst/>
        </a:prstGeom>
        <a:noFill/>
        <a:ln w="9525">
          <a:solidFill>
            <a:srgbClr val="000000"/>
          </a:solidFill>
          <a:round/>
          <a:headEnd/>
          <a:tailEnd/>
        </a:ln>
      </xdr:spPr>
    </xdr:sp>
    <xdr:clientData/>
  </xdr:twoCellAnchor>
  <xdr:twoCellAnchor>
    <xdr:from>
      <xdr:col>5</xdr:col>
      <xdr:colOff>276225</xdr:colOff>
      <xdr:row>30</xdr:row>
      <xdr:rowOff>133350</xdr:rowOff>
    </xdr:from>
    <xdr:to>
      <xdr:col>5</xdr:col>
      <xdr:colOff>323850</xdr:colOff>
      <xdr:row>30</xdr:row>
      <xdr:rowOff>133350</xdr:rowOff>
    </xdr:to>
    <xdr:sp macro="" textlink="">
      <xdr:nvSpPr>
        <xdr:cNvPr id="55" name="Line 54"/>
        <xdr:cNvSpPr>
          <a:spLocks noChangeShapeType="1"/>
        </xdr:cNvSpPr>
      </xdr:nvSpPr>
      <xdr:spPr bwMode="auto">
        <a:xfrm>
          <a:off x="3390900" y="4876800"/>
          <a:ext cx="47625" cy="0"/>
        </a:xfrm>
        <a:prstGeom prst="line">
          <a:avLst/>
        </a:prstGeom>
        <a:noFill/>
        <a:ln w="9525">
          <a:solidFill>
            <a:srgbClr val="000000"/>
          </a:solidFill>
          <a:round/>
          <a:headEnd/>
          <a:tailEnd/>
        </a:ln>
      </xdr:spPr>
    </xdr:sp>
    <xdr:clientData/>
  </xdr:twoCellAnchor>
  <xdr:twoCellAnchor>
    <xdr:from>
      <xdr:col>2</xdr:col>
      <xdr:colOff>466725</xdr:colOff>
      <xdr:row>30</xdr:row>
      <xdr:rowOff>142875</xdr:rowOff>
    </xdr:from>
    <xdr:to>
      <xdr:col>2</xdr:col>
      <xdr:colOff>514350</xdr:colOff>
      <xdr:row>30</xdr:row>
      <xdr:rowOff>142875</xdr:rowOff>
    </xdr:to>
    <xdr:sp macro="" textlink="">
      <xdr:nvSpPr>
        <xdr:cNvPr id="56" name="Line 55"/>
        <xdr:cNvSpPr>
          <a:spLocks noChangeShapeType="1"/>
        </xdr:cNvSpPr>
      </xdr:nvSpPr>
      <xdr:spPr bwMode="auto">
        <a:xfrm>
          <a:off x="1743075" y="4886325"/>
          <a:ext cx="47625"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57" name="Line 56"/>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58" name="Line 57"/>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59" name="Line 58"/>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6</xdr:col>
      <xdr:colOff>600075</xdr:colOff>
      <xdr:row>45</xdr:row>
      <xdr:rowOff>0</xdr:rowOff>
    </xdr:from>
    <xdr:to>
      <xdr:col>7</xdr:col>
      <xdr:colOff>0</xdr:colOff>
      <xdr:row>45</xdr:row>
      <xdr:rowOff>0</xdr:rowOff>
    </xdr:to>
    <xdr:sp macro="" textlink="">
      <xdr:nvSpPr>
        <xdr:cNvPr id="60" name="Line 59"/>
        <xdr:cNvSpPr>
          <a:spLocks noChangeShapeType="1"/>
        </xdr:cNvSpPr>
      </xdr:nvSpPr>
      <xdr:spPr bwMode="auto">
        <a:xfrm flipH="1" flipV="1">
          <a:off x="4333875" y="7172325"/>
          <a:ext cx="19050" cy="0"/>
        </a:xfrm>
        <a:prstGeom prst="line">
          <a:avLst/>
        </a:prstGeom>
        <a:noFill/>
        <a:ln w="9525">
          <a:solidFill>
            <a:srgbClr val="000000"/>
          </a:solidFill>
          <a:round/>
          <a:headEnd/>
          <a:tailEnd/>
        </a:ln>
      </xdr:spPr>
    </xdr:sp>
    <xdr:clientData/>
  </xdr:twoCellAnchor>
  <xdr:twoCellAnchor>
    <xdr:from>
      <xdr:col>3</xdr:col>
      <xdr:colOff>152400</xdr:colOff>
      <xdr:row>30</xdr:row>
      <xdr:rowOff>38100</xdr:rowOff>
    </xdr:from>
    <xdr:to>
      <xdr:col>3</xdr:col>
      <xdr:colOff>161925</xdr:colOff>
      <xdr:row>30</xdr:row>
      <xdr:rowOff>38100</xdr:rowOff>
    </xdr:to>
    <xdr:sp macro="" textlink="">
      <xdr:nvSpPr>
        <xdr:cNvPr id="61" name="Oval 60"/>
        <xdr:cNvSpPr>
          <a:spLocks noChangeArrowheads="1"/>
        </xdr:cNvSpPr>
      </xdr:nvSpPr>
      <xdr:spPr bwMode="auto">
        <a:xfrm>
          <a:off x="2038350" y="4781550"/>
          <a:ext cx="9525" cy="0"/>
        </a:xfrm>
        <a:prstGeom prst="ellipse">
          <a:avLst/>
        </a:prstGeom>
        <a:noFill/>
        <a:ln w="9525">
          <a:solidFill>
            <a:srgbClr val="000000"/>
          </a:solidFill>
          <a:round/>
          <a:headEnd/>
          <a:tailEnd/>
        </a:ln>
      </xdr:spPr>
    </xdr:sp>
    <xdr:clientData/>
  </xdr:twoCellAnchor>
  <xdr:twoCellAnchor>
    <xdr:from>
      <xdr:col>3</xdr:col>
      <xdr:colOff>152400</xdr:colOff>
      <xdr:row>30</xdr:row>
      <xdr:rowOff>47625</xdr:rowOff>
    </xdr:from>
    <xdr:to>
      <xdr:col>3</xdr:col>
      <xdr:colOff>171450</xdr:colOff>
      <xdr:row>30</xdr:row>
      <xdr:rowOff>47625</xdr:rowOff>
    </xdr:to>
    <xdr:sp macro="" textlink="">
      <xdr:nvSpPr>
        <xdr:cNvPr id="62" name="Oval 61"/>
        <xdr:cNvSpPr>
          <a:spLocks noChangeArrowheads="1"/>
        </xdr:cNvSpPr>
      </xdr:nvSpPr>
      <xdr:spPr bwMode="auto">
        <a:xfrm>
          <a:off x="2038350" y="4791075"/>
          <a:ext cx="19050" cy="0"/>
        </a:xfrm>
        <a:prstGeom prst="ellipse">
          <a:avLst/>
        </a:prstGeom>
        <a:noFill/>
        <a:ln w="9525">
          <a:solidFill>
            <a:srgbClr val="000000"/>
          </a:solidFill>
          <a:round/>
          <a:headEnd/>
          <a:tailEnd/>
        </a:ln>
      </xdr:spPr>
    </xdr:sp>
    <xdr:clientData/>
  </xdr:twoCellAnchor>
  <xdr:twoCellAnchor>
    <xdr:from>
      <xdr:col>3</xdr:col>
      <xdr:colOff>161925</xdr:colOff>
      <xdr:row>30</xdr:row>
      <xdr:rowOff>38100</xdr:rowOff>
    </xdr:from>
    <xdr:to>
      <xdr:col>3</xdr:col>
      <xdr:colOff>171450</xdr:colOff>
      <xdr:row>30</xdr:row>
      <xdr:rowOff>47625</xdr:rowOff>
    </xdr:to>
    <xdr:sp macro="" textlink="">
      <xdr:nvSpPr>
        <xdr:cNvPr id="63" name="Rectangle 62"/>
        <xdr:cNvSpPr>
          <a:spLocks noChangeArrowheads="1"/>
        </xdr:cNvSpPr>
      </xdr:nvSpPr>
      <xdr:spPr bwMode="auto">
        <a:xfrm>
          <a:off x="2047875" y="4781550"/>
          <a:ext cx="9525" cy="9525"/>
        </a:xfrm>
        <a:prstGeom prst="rect">
          <a:avLst/>
        </a:prstGeom>
        <a:noFill/>
        <a:ln w="9525">
          <a:solidFill>
            <a:srgbClr val="000000"/>
          </a:solidFill>
          <a:miter lim="800000"/>
          <a:headEnd/>
          <a:tailEnd/>
        </a:ln>
      </xdr:spPr>
    </xdr:sp>
    <xdr:clientData/>
  </xdr:twoCellAnchor>
  <xdr:twoCellAnchor>
    <xdr:from>
      <xdr:col>3</xdr:col>
      <xdr:colOff>133350</xdr:colOff>
      <xdr:row>26</xdr:row>
      <xdr:rowOff>19050</xdr:rowOff>
    </xdr:from>
    <xdr:to>
      <xdr:col>3</xdr:col>
      <xdr:colOff>247650</xdr:colOff>
      <xdr:row>26</xdr:row>
      <xdr:rowOff>133350</xdr:rowOff>
    </xdr:to>
    <xdr:sp macro="" textlink="">
      <xdr:nvSpPr>
        <xdr:cNvPr id="64" name="Line 63"/>
        <xdr:cNvSpPr>
          <a:spLocks noChangeShapeType="1"/>
        </xdr:cNvSpPr>
      </xdr:nvSpPr>
      <xdr:spPr bwMode="auto">
        <a:xfrm flipH="1">
          <a:off x="2019300" y="4114800"/>
          <a:ext cx="114300" cy="114300"/>
        </a:xfrm>
        <a:prstGeom prst="line">
          <a:avLst/>
        </a:prstGeom>
        <a:noFill/>
        <a:ln w="9525">
          <a:solidFill>
            <a:srgbClr val="000000"/>
          </a:solidFill>
          <a:round/>
          <a:headEnd/>
          <a:tailEnd/>
        </a:ln>
      </xdr:spPr>
    </xdr:sp>
    <xdr:clientData/>
  </xdr:twoCellAnchor>
  <xdr:twoCellAnchor>
    <xdr:from>
      <xdr:col>4</xdr:col>
      <xdr:colOff>542925</xdr:colOff>
      <xdr:row>26</xdr:row>
      <xdr:rowOff>28575</xdr:rowOff>
    </xdr:from>
    <xdr:to>
      <xdr:col>5</xdr:col>
      <xdr:colOff>28575</xdr:colOff>
      <xdr:row>26</xdr:row>
      <xdr:rowOff>133350</xdr:rowOff>
    </xdr:to>
    <xdr:sp macro="" textlink="">
      <xdr:nvSpPr>
        <xdr:cNvPr id="65" name="Line 64"/>
        <xdr:cNvSpPr>
          <a:spLocks noChangeShapeType="1"/>
        </xdr:cNvSpPr>
      </xdr:nvSpPr>
      <xdr:spPr bwMode="auto">
        <a:xfrm flipH="1">
          <a:off x="3038475" y="4124325"/>
          <a:ext cx="104775" cy="104775"/>
        </a:xfrm>
        <a:prstGeom prst="line">
          <a:avLst/>
        </a:prstGeom>
        <a:noFill/>
        <a:ln w="9525">
          <a:solidFill>
            <a:srgbClr val="000000"/>
          </a:solidFill>
          <a:round/>
          <a:headEnd/>
          <a:tailEnd/>
        </a:ln>
      </xdr:spPr>
    </xdr:sp>
    <xdr:clientData/>
  </xdr:twoCellAnchor>
  <xdr:twoCellAnchor>
    <xdr:from>
      <xdr:col>3</xdr:col>
      <xdr:colOff>0</xdr:colOff>
      <xdr:row>3</xdr:row>
      <xdr:rowOff>142875</xdr:rowOff>
    </xdr:from>
    <xdr:to>
      <xdr:col>3</xdr:col>
      <xdr:colOff>0</xdr:colOff>
      <xdr:row>15</xdr:row>
      <xdr:rowOff>57150</xdr:rowOff>
    </xdr:to>
    <xdr:sp macro="" textlink="">
      <xdr:nvSpPr>
        <xdr:cNvPr id="66" name="Line 65"/>
        <xdr:cNvSpPr>
          <a:spLocks noChangeShapeType="1"/>
        </xdr:cNvSpPr>
      </xdr:nvSpPr>
      <xdr:spPr bwMode="auto">
        <a:xfrm flipV="1">
          <a:off x="1885950" y="514350"/>
          <a:ext cx="0" cy="1857375"/>
        </a:xfrm>
        <a:prstGeom prst="line">
          <a:avLst/>
        </a:prstGeom>
        <a:noFill/>
        <a:ln w="9525">
          <a:solidFill>
            <a:srgbClr val="000000"/>
          </a:solidFill>
          <a:round/>
          <a:headEnd/>
          <a:tailEnd/>
        </a:ln>
      </xdr:spPr>
    </xdr:sp>
    <xdr:clientData/>
  </xdr:twoCellAnchor>
  <xdr:twoCellAnchor>
    <xdr:from>
      <xdr:col>3</xdr:col>
      <xdr:colOff>57150</xdr:colOff>
      <xdr:row>3</xdr:row>
      <xdr:rowOff>152400</xdr:rowOff>
    </xdr:from>
    <xdr:to>
      <xdr:col>3</xdr:col>
      <xdr:colOff>57150</xdr:colOff>
      <xdr:row>15</xdr:row>
      <xdr:rowOff>66675</xdr:rowOff>
    </xdr:to>
    <xdr:sp macro="" textlink="">
      <xdr:nvSpPr>
        <xdr:cNvPr id="67" name="Line 66"/>
        <xdr:cNvSpPr>
          <a:spLocks noChangeShapeType="1"/>
        </xdr:cNvSpPr>
      </xdr:nvSpPr>
      <xdr:spPr bwMode="auto">
        <a:xfrm flipV="1">
          <a:off x="1943100" y="523875"/>
          <a:ext cx="0" cy="1857375"/>
        </a:xfrm>
        <a:prstGeom prst="line">
          <a:avLst/>
        </a:prstGeom>
        <a:noFill/>
        <a:ln w="9525">
          <a:solidFill>
            <a:srgbClr val="000000"/>
          </a:solidFill>
          <a:round/>
          <a:headEnd/>
          <a:tailEnd/>
        </a:ln>
      </xdr:spPr>
    </xdr:sp>
    <xdr:clientData/>
  </xdr:twoCellAnchor>
  <xdr:twoCellAnchor>
    <xdr:from>
      <xdr:col>5</xdr:col>
      <xdr:colOff>123825</xdr:colOff>
      <xdr:row>3</xdr:row>
      <xdr:rowOff>152400</xdr:rowOff>
    </xdr:from>
    <xdr:to>
      <xdr:col>5</xdr:col>
      <xdr:colOff>123825</xdr:colOff>
      <xdr:row>15</xdr:row>
      <xdr:rowOff>66675</xdr:rowOff>
    </xdr:to>
    <xdr:sp macro="" textlink="">
      <xdr:nvSpPr>
        <xdr:cNvPr id="68" name="Line 67"/>
        <xdr:cNvSpPr>
          <a:spLocks noChangeShapeType="1"/>
        </xdr:cNvSpPr>
      </xdr:nvSpPr>
      <xdr:spPr bwMode="auto">
        <a:xfrm flipV="1">
          <a:off x="3238500" y="523875"/>
          <a:ext cx="0" cy="1857375"/>
        </a:xfrm>
        <a:prstGeom prst="line">
          <a:avLst/>
        </a:prstGeom>
        <a:noFill/>
        <a:ln w="9525">
          <a:solidFill>
            <a:srgbClr val="000000"/>
          </a:solidFill>
          <a:round/>
          <a:headEnd/>
          <a:tailEnd/>
        </a:ln>
      </xdr:spPr>
    </xdr:sp>
    <xdr:clientData/>
  </xdr:twoCellAnchor>
  <xdr:twoCellAnchor>
    <xdr:from>
      <xdr:col>5</xdr:col>
      <xdr:colOff>190500</xdr:colOff>
      <xdr:row>3</xdr:row>
      <xdr:rowOff>152400</xdr:rowOff>
    </xdr:from>
    <xdr:to>
      <xdr:col>5</xdr:col>
      <xdr:colOff>190500</xdr:colOff>
      <xdr:row>15</xdr:row>
      <xdr:rowOff>66675</xdr:rowOff>
    </xdr:to>
    <xdr:sp macro="" textlink="">
      <xdr:nvSpPr>
        <xdr:cNvPr id="69" name="Line 68"/>
        <xdr:cNvSpPr>
          <a:spLocks noChangeShapeType="1"/>
        </xdr:cNvSpPr>
      </xdr:nvSpPr>
      <xdr:spPr bwMode="auto">
        <a:xfrm flipV="1">
          <a:off x="3305175" y="523875"/>
          <a:ext cx="0" cy="1857375"/>
        </a:xfrm>
        <a:prstGeom prst="line">
          <a:avLst/>
        </a:prstGeom>
        <a:noFill/>
        <a:ln w="9525">
          <a:solidFill>
            <a:srgbClr val="000000"/>
          </a:solidFill>
          <a:round/>
          <a:headEnd/>
          <a:tailEnd/>
        </a:ln>
      </xdr:spPr>
    </xdr:sp>
    <xdr:clientData/>
  </xdr:twoCellAnchor>
  <xdr:twoCellAnchor>
    <xdr:from>
      <xdr:col>2</xdr:col>
      <xdr:colOff>361950</xdr:colOff>
      <xdr:row>3</xdr:row>
      <xdr:rowOff>85725</xdr:rowOff>
    </xdr:from>
    <xdr:to>
      <xdr:col>5</xdr:col>
      <xdr:colOff>381000</xdr:colOff>
      <xdr:row>4</xdr:row>
      <xdr:rowOff>0</xdr:rowOff>
    </xdr:to>
    <xdr:sp macro="" textlink="">
      <xdr:nvSpPr>
        <xdr:cNvPr id="70" name="Rectangle 69"/>
        <xdr:cNvSpPr>
          <a:spLocks noChangeArrowheads="1"/>
        </xdr:cNvSpPr>
      </xdr:nvSpPr>
      <xdr:spPr bwMode="auto">
        <a:xfrm>
          <a:off x="1638300" y="457200"/>
          <a:ext cx="1857375" cy="76200"/>
        </a:xfrm>
        <a:prstGeom prst="rect">
          <a:avLst/>
        </a:prstGeom>
        <a:solidFill>
          <a:srgbClr val="FFFFFF"/>
        </a:solidFill>
        <a:ln w="9525">
          <a:solidFill>
            <a:srgbClr val="000000"/>
          </a:solidFill>
          <a:miter lim="800000"/>
          <a:headEnd/>
          <a:tailEnd/>
        </a:ln>
      </xdr:spPr>
    </xdr:sp>
    <xdr:clientData/>
  </xdr:twoCellAnchor>
  <xdr:twoCellAnchor>
    <xdr:from>
      <xdr:col>3</xdr:col>
      <xdr:colOff>200025</xdr:colOff>
      <xdr:row>6</xdr:row>
      <xdr:rowOff>152400</xdr:rowOff>
    </xdr:from>
    <xdr:to>
      <xdr:col>3</xdr:col>
      <xdr:colOff>390525</xdr:colOff>
      <xdr:row>9</xdr:row>
      <xdr:rowOff>104775</xdr:rowOff>
    </xdr:to>
    <xdr:sp macro="" textlink="">
      <xdr:nvSpPr>
        <xdr:cNvPr id="71" name="Rectangle 70"/>
        <xdr:cNvSpPr>
          <a:spLocks noChangeArrowheads="1"/>
        </xdr:cNvSpPr>
      </xdr:nvSpPr>
      <xdr:spPr bwMode="auto">
        <a:xfrm>
          <a:off x="2085975" y="1009650"/>
          <a:ext cx="190500" cy="438150"/>
        </a:xfrm>
        <a:prstGeom prst="rect">
          <a:avLst/>
        </a:prstGeom>
        <a:solidFill>
          <a:srgbClr val="FFFFFF"/>
        </a:solidFill>
        <a:ln w="9525">
          <a:solidFill>
            <a:srgbClr val="000000"/>
          </a:solidFill>
          <a:miter lim="800000"/>
          <a:headEnd/>
          <a:tailEnd/>
        </a:ln>
      </xdr:spPr>
    </xdr:sp>
    <xdr:clientData/>
  </xdr:twoCellAnchor>
  <xdr:twoCellAnchor>
    <xdr:from>
      <xdr:col>4</xdr:col>
      <xdr:colOff>438150</xdr:colOff>
      <xdr:row>6</xdr:row>
      <xdr:rowOff>152400</xdr:rowOff>
    </xdr:from>
    <xdr:to>
      <xdr:col>5</xdr:col>
      <xdr:colOff>19050</xdr:colOff>
      <xdr:row>9</xdr:row>
      <xdr:rowOff>104775</xdr:rowOff>
    </xdr:to>
    <xdr:sp macro="" textlink="">
      <xdr:nvSpPr>
        <xdr:cNvPr id="72" name="Rectangle 71"/>
        <xdr:cNvSpPr>
          <a:spLocks noChangeArrowheads="1"/>
        </xdr:cNvSpPr>
      </xdr:nvSpPr>
      <xdr:spPr bwMode="auto">
        <a:xfrm>
          <a:off x="2933700" y="1009650"/>
          <a:ext cx="200025" cy="438150"/>
        </a:xfrm>
        <a:prstGeom prst="rect">
          <a:avLst/>
        </a:prstGeom>
        <a:solidFill>
          <a:srgbClr val="FFFFFF"/>
        </a:solidFill>
        <a:ln w="9525">
          <a:solidFill>
            <a:srgbClr val="000000"/>
          </a:solidFill>
          <a:miter lim="800000"/>
          <a:headEnd/>
          <a:tailEnd/>
        </a:ln>
      </xdr:spPr>
    </xdr:sp>
    <xdr:clientData/>
  </xdr:twoCellAnchor>
  <xdr:twoCellAnchor>
    <xdr:from>
      <xdr:col>3</xdr:col>
      <xdr:colOff>561975</xdr:colOff>
      <xdr:row>6</xdr:row>
      <xdr:rowOff>142875</xdr:rowOff>
    </xdr:from>
    <xdr:to>
      <xdr:col>3</xdr:col>
      <xdr:colOff>561975</xdr:colOff>
      <xdr:row>15</xdr:row>
      <xdr:rowOff>76200</xdr:rowOff>
    </xdr:to>
    <xdr:sp macro="" textlink="">
      <xdr:nvSpPr>
        <xdr:cNvPr id="73" name="Line 72"/>
        <xdr:cNvSpPr>
          <a:spLocks noChangeShapeType="1"/>
        </xdr:cNvSpPr>
      </xdr:nvSpPr>
      <xdr:spPr bwMode="auto">
        <a:xfrm>
          <a:off x="2447925" y="1000125"/>
          <a:ext cx="0" cy="1390650"/>
        </a:xfrm>
        <a:prstGeom prst="line">
          <a:avLst/>
        </a:prstGeom>
        <a:noFill/>
        <a:ln w="9525">
          <a:solidFill>
            <a:srgbClr val="000000"/>
          </a:solidFill>
          <a:round/>
          <a:headEnd/>
          <a:tailEnd/>
        </a:ln>
      </xdr:spPr>
    </xdr:sp>
    <xdr:clientData/>
  </xdr:twoCellAnchor>
  <xdr:twoCellAnchor>
    <xdr:from>
      <xdr:col>3</xdr:col>
      <xdr:colOff>552450</xdr:colOff>
      <xdr:row>7</xdr:row>
      <xdr:rowOff>0</xdr:rowOff>
    </xdr:from>
    <xdr:to>
      <xdr:col>4</xdr:col>
      <xdr:colOff>304800</xdr:colOff>
      <xdr:row>7</xdr:row>
      <xdr:rowOff>0</xdr:rowOff>
    </xdr:to>
    <xdr:sp macro="" textlink="">
      <xdr:nvSpPr>
        <xdr:cNvPr id="74" name="Line 73"/>
        <xdr:cNvSpPr>
          <a:spLocks noChangeShapeType="1"/>
        </xdr:cNvSpPr>
      </xdr:nvSpPr>
      <xdr:spPr bwMode="auto">
        <a:xfrm>
          <a:off x="2438400" y="1019175"/>
          <a:ext cx="361950" cy="0"/>
        </a:xfrm>
        <a:prstGeom prst="line">
          <a:avLst/>
        </a:prstGeom>
        <a:noFill/>
        <a:ln w="9525">
          <a:solidFill>
            <a:srgbClr val="000000"/>
          </a:solidFill>
          <a:round/>
          <a:headEnd/>
          <a:tailEnd/>
        </a:ln>
      </xdr:spPr>
    </xdr:sp>
    <xdr:clientData/>
  </xdr:twoCellAnchor>
  <xdr:twoCellAnchor>
    <xdr:from>
      <xdr:col>4</xdr:col>
      <xdr:colOff>295275</xdr:colOff>
      <xdr:row>7</xdr:row>
      <xdr:rowOff>0</xdr:rowOff>
    </xdr:from>
    <xdr:to>
      <xdr:col>4</xdr:col>
      <xdr:colOff>295275</xdr:colOff>
      <xdr:row>15</xdr:row>
      <xdr:rowOff>95250</xdr:rowOff>
    </xdr:to>
    <xdr:sp macro="" textlink="">
      <xdr:nvSpPr>
        <xdr:cNvPr id="75" name="Line 74"/>
        <xdr:cNvSpPr>
          <a:spLocks noChangeShapeType="1"/>
        </xdr:cNvSpPr>
      </xdr:nvSpPr>
      <xdr:spPr bwMode="auto">
        <a:xfrm>
          <a:off x="2790825" y="1019175"/>
          <a:ext cx="0" cy="1390650"/>
        </a:xfrm>
        <a:prstGeom prst="line">
          <a:avLst/>
        </a:prstGeom>
        <a:noFill/>
        <a:ln w="9525">
          <a:solidFill>
            <a:srgbClr val="000000"/>
          </a:solidFill>
          <a:round/>
          <a:headEnd/>
          <a:tailEnd/>
        </a:ln>
      </xdr:spPr>
    </xdr:sp>
    <xdr:clientData/>
  </xdr:twoCellAnchor>
  <xdr:twoCellAnchor>
    <xdr:from>
      <xdr:col>3</xdr:col>
      <xdr:colOff>571500</xdr:colOff>
      <xdr:row>7</xdr:row>
      <xdr:rowOff>9525</xdr:rowOff>
    </xdr:from>
    <xdr:to>
      <xdr:col>4</xdr:col>
      <xdr:colOff>180975</xdr:colOff>
      <xdr:row>7</xdr:row>
      <xdr:rowOff>95250</xdr:rowOff>
    </xdr:to>
    <xdr:sp macro="" textlink="">
      <xdr:nvSpPr>
        <xdr:cNvPr id="76" name="Line 75"/>
        <xdr:cNvSpPr>
          <a:spLocks noChangeShapeType="1"/>
        </xdr:cNvSpPr>
      </xdr:nvSpPr>
      <xdr:spPr bwMode="auto">
        <a:xfrm>
          <a:off x="2457450" y="1028700"/>
          <a:ext cx="219075" cy="85725"/>
        </a:xfrm>
        <a:prstGeom prst="line">
          <a:avLst/>
        </a:prstGeom>
        <a:noFill/>
        <a:ln w="9525">
          <a:solidFill>
            <a:srgbClr val="000000"/>
          </a:solidFill>
          <a:round/>
          <a:headEnd/>
          <a:tailEnd/>
        </a:ln>
      </xdr:spPr>
    </xdr:sp>
    <xdr:clientData/>
  </xdr:twoCellAnchor>
  <xdr:twoCellAnchor>
    <xdr:from>
      <xdr:col>4</xdr:col>
      <xdr:colOff>171450</xdr:colOff>
      <xdr:row>7</xdr:row>
      <xdr:rowOff>85725</xdr:rowOff>
    </xdr:from>
    <xdr:to>
      <xdr:col>4</xdr:col>
      <xdr:colOff>171450</xdr:colOff>
      <xdr:row>15</xdr:row>
      <xdr:rowOff>38100</xdr:rowOff>
    </xdr:to>
    <xdr:sp macro="" textlink="">
      <xdr:nvSpPr>
        <xdr:cNvPr id="77" name="Line 76"/>
        <xdr:cNvSpPr>
          <a:spLocks noChangeShapeType="1"/>
        </xdr:cNvSpPr>
      </xdr:nvSpPr>
      <xdr:spPr bwMode="auto">
        <a:xfrm>
          <a:off x="2667000" y="1104900"/>
          <a:ext cx="0" cy="1247775"/>
        </a:xfrm>
        <a:prstGeom prst="line">
          <a:avLst/>
        </a:prstGeom>
        <a:noFill/>
        <a:ln w="9525">
          <a:solidFill>
            <a:srgbClr val="000000"/>
          </a:solidFill>
          <a:round/>
          <a:headEnd/>
          <a:tailEnd/>
        </a:ln>
      </xdr:spPr>
    </xdr:sp>
    <xdr:clientData/>
  </xdr:twoCellAnchor>
  <xdr:twoCellAnchor>
    <xdr:from>
      <xdr:col>3</xdr:col>
      <xdr:colOff>571500</xdr:colOff>
      <xdr:row>15</xdr:row>
      <xdr:rowOff>47625</xdr:rowOff>
    </xdr:from>
    <xdr:to>
      <xdr:col>4</xdr:col>
      <xdr:colOff>171450</xdr:colOff>
      <xdr:row>15</xdr:row>
      <xdr:rowOff>85725</xdr:rowOff>
    </xdr:to>
    <xdr:sp macro="" textlink="">
      <xdr:nvSpPr>
        <xdr:cNvPr id="78" name="Line 77"/>
        <xdr:cNvSpPr>
          <a:spLocks noChangeShapeType="1"/>
        </xdr:cNvSpPr>
      </xdr:nvSpPr>
      <xdr:spPr bwMode="auto">
        <a:xfrm flipH="1">
          <a:off x="2457450" y="2362200"/>
          <a:ext cx="209550" cy="38100"/>
        </a:xfrm>
        <a:prstGeom prst="line">
          <a:avLst/>
        </a:prstGeom>
        <a:noFill/>
        <a:ln w="9525">
          <a:solidFill>
            <a:srgbClr val="000000"/>
          </a:solidFill>
          <a:round/>
          <a:headEnd/>
          <a:tailEnd/>
        </a:ln>
      </xdr:spPr>
    </xdr:sp>
    <xdr:clientData/>
  </xdr:twoCellAnchor>
  <xdr:twoCellAnchor>
    <xdr:from>
      <xdr:col>3</xdr:col>
      <xdr:colOff>523875</xdr:colOff>
      <xdr:row>6</xdr:row>
      <xdr:rowOff>142875</xdr:rowOff>
    </xdr:from>
    <xdr:to>
      <xdr:col>3</xdr:col>
      <xdr:colOff>523875</xdr:colOff>
      <xdr:row>15</xdr:row>
      <xdr:rowOff>95250</xdr:rowOff>
    </xdr:to>
    <xdr:sp macro="" textlink="">
      <xdr:nvSpPr>
        <xdr:cNvPr id="79" name="Line 78"/>
        <xdr:cNvSpPr>
          <a:spLocks noChangeShapeType="1"/>
        </xdr:cNvSpPr>
      </xdr:nvSpPr>
      <xdr:spPr bwMode="auto">
        <a:xfrm>
          <a:off x="2409825" y="1000125"/>
          <a:ext cx="0" cy="1409700"/>
        </a:xfrm>
        <a:prstGeom prst="line">
          <a:avLst/>
        </a:prstGeom>
        <a:noFill/>
        <a:ln w="9525">
          <a:solidFill>
            <a:srgbClr val="000000"/>
          </a:solidFill>
          <a:round/>
          <a:headEnd/>
          <a:tailEnd/>
        </a:ln>
      </xdr:spPr>
    </xdr:sp>
    <xdr:clientData/>
  </xdr:twoCellAnchor>
  <xdr:twoCellAnchor>
    <xdr:from>
      <xdr:col>3</xdr:col>
      <xdr:colOff>514350</xdr:colOff>
      <xdr:row>6</xdr:row>
      <xdr:rowOff>133350</xdr:rowOff>
    </xdr:from>
    <xdr:to>
      <xdr:col>4</xdr:col>
      <xdr:colOff>333375</xdr:colOff>
      <xdr:row>6</xdr:row>
      <xdr:rowOff>133350</xdr:rowOff>
    </xdr:to>
    <xdr:sp macro="" textlink="">
      <xdr:nvSpPr>
        <xdr:cNvPr id="80" name="Line 79"/>
        <xdr:cNvSpPr>
          <a:spLocks noChangeShapeType="1"/>
        </xdr:cNvSpPr>
      </xdr:nvSpPr>
      <xdr:spPr bwMode="auto">
        <a:xfrm>
          <a:off x="2400300" y="990600"/>
          <a:ext cx="428625" cy="0"/>
        </a:xfrm>
        <a:prstGeom prst="line">
          <a:avLst/>
        </a:prstGeom>
        <a:noFill/>
        <a:ln w="9525">
          <a:solidFill>
            <a:srgbClr val="000000"/>
          </a:solidFill>
          <a:round/>
          <a:headEnd/>
          <a:tailEnd/>
        </a:ln>
      </xdr:spPr>
    </xdr:sp>
    <xdr:clientData/>
  </xdr:twoCellAnchor>
  <xdr:twoCellAnchor>
    <xdr:from>
      <xdr:col>4</xdr:col>
      <xdr:colOff>323850</xdr:colOff>
      <xdr:row>6</xdr:row>
      <xdr:rowOff>133350</xdr:rowOff>
    </xdr:from>
    <xdr:to>
      <xdr:col>4</xdr:col>
      <xdr:colOff>323850</xdr:colOff>
      <xdr:row>15</xdr:row>
      <xdr:rowOff>95250</xdr:rowOff>
    </xdr:to>
    <xdr:sp macro="" textlink="">
      <xdr:nvSpPr>
        <xdr:cNvPr id="81" name="Line 80"/>
        <xdr:cNvSpPr>
          <a:spLocks noChangeShapeType="1"/>
        </xdr:cNvSpPr>
      </xdr:nvSpPr>
      <xdr:spPr bwMode="auto">
        <a:xfrm>
          <a:off x="2819400" y="990600"/>
          <a:ext cx="0" cy="1419225"/>
        </a:xfrm>
        <a:prstGeom prst="line">
          <a:avLst/>
        </a:prstGeom>
        <a:noFill/>
        <a:ln w="9525">
          <a:solidFill>
            <a:srgbClr val="000000"/>
          </a:solidFill>
          <a:round/>
          <a:headEnd/>
          <a:tailEnd/>
        </a:ln>
      </xdr:spPr>
    </xdr:sp>
    <xdr:clientData/>
  </xdr:twoCellAnchor>
  <xdr:twoCellAnchor>
    <xdr:from>
      <xdr:col>3</xdr:col>
      <xdr:colOff>238125</xdr:colOff>
      <xdr:row>7</xdr:row>
      <xdr:rowOff>19050</xdr:rowOff>
    </xdr:from>
    <xdr:to>
      <xdr:col>3</xdr:col>
      <xdr:colOff>352425</xdr:colOff>
      <xdr:row>9</xdr:row>
      <xdr:rowOff>85725</xdr:rowOff>
    </xdr:to>
    <xdr:sp macro="" textlink="">
      <xdr:nvSpPr>
        <xdr:cNvPr id="82" name="Rectangle 81"/>
        <xdr:cNvSpPr>
          <a:spLocks noChangeArrowheads="1"/>
        </xdr:cNvSpPr>
      </xdr:nvSpPr>
      <xdr:spPr bwMode="auto">
        <a:xfrm>
          <a:off x="2124075" y="1038225"/>
          <a:ext cx="114300" cy="390525"/>
        </a:xfrm>
        <a:prstGeom prst="rect">
          <a:avLst/>
        </a:prstGeom>
        <a:solidFill>
          <a:srgbClr val="FFFFFF"/>
        </a:solidFill>
        <a:ln w="9525">
          <a:solidFill>
            <a:srgbClr val="000000"/>
          </a:solidFill>
          <a:miter lim="800000"/>
          <a:headEnd/>
          <a:tailEnd/>
        </a:ln>
      </xdr:spPr>
    </xdr:sp>
    <xdr:clientData/>
  </xdr:twoCellAnchor>
  <xdr:twoCellAnchor>
    <xdr:from>
      <xdr:col>4</xdr:col>
      <xdr:colOff>476250</xdr:colOff>
      <xdr:row>7</xdr:row>
      <xdr:rowOff>19050</xdr:rowOff>
    </xdr:from>
    <xdr:to>
      <xdr:col>4</xdr:col>
      <xdr:colOff>590550</xdr:colOff>
      <xdr:row>9</xdr:row>
      <xdr:rowOff>85725</xdr:rowOff>
    </xdr:to>
    <xdr:sp macro="" textlink="">
      <xdr:nvSpPr>
        <xdr:cNvPr id="83" name="Rectangle 82"/>
        <xdr:cNvSpPr>
          <a:spLocks noChangeArrowheads="1"/>
        </xdr:cNvSpPr>
      </xdr:nvSpPr>
      <xdr:spPr bwMode="auto">
        <a:xfrm>
          <a:off x="2971800" y="1038225"/>
          <a:ext cx="114300" cy="390525"/>
        </a:xfrm>
        <a:prstGeom prst="rect">
          <a:avLst/>
        </a:prstGeom>
        <a:solidFill>
          <a:srgbClr val="FFFFFF"/>
        </a:solidFill>
        <a:ln w="9525">
          <a:solidFill>
            <a:srgbClr val="000000"/>
          </a:solidFill>
          <a:miter lim="800000"/>
          <a:headEnd/>
          <a:tailEnd/>
        </a:ln>
      </xdr:spPr>
    </xdr:sp>
    <xdr:clientData/>
  </xdr:twoCellAnchor>
  <xdr:twoCellAnchor>
    <xdr:from>
      <xdr:col>4</xdr:col>
      <xdr:colOff>600075</xdr:colOff>
      <xdr:row>23</xdr:row>
      <xdr:rowOff>95250</xdr:rowOff>
    </xdr:from>
    <xdr:to>
      <xdr:col>4</xdr:col>
      <xdr:colOff>600075</xdr:colOff>
      <xdr:row>28</xdr:row>
      <xdr:rowOff>9525</xdr:rowOff>
    </xdr:to>
    <xdr:sp macro="" textlink="">
      <xdr:nvSpPr>
        <xdr:cNvPr id="84" name="Line 83"/>
        <xdr:cNvSpPr>
          <a:spLocks noChangeShapeType="1"/>
        </xdr:cNvSpPr>
      </xdr:nvSpPr>
      <xdr:spPr bwMode="auto">
        <a:xfrm>
          <a:off x="3095625" y="3705225"/>
          <a:ext cx="0" cy="723900"/>
        </a:xfrm>
        <a:prstGeom prst="line">
          <a:avLst/>
        </a:prstGeom>
        <a:noFill/>
        <a:ln w="9525">
          <a:solidFill>
            <a:srgbClr val="000000"/>
          </a:solidFill>
          <a:round/>
          <a:headEnd/>
          <a:tailEnd/>
        </a:ln>
      </xdr:spPr>
    </xdr:sp>
    <xdr:clientData/>
  </xdr:twoCellAnchor>
  <xdr:twoCellAnchor>
    <xdr:from>
      <xdr:col>4</xdr:col>
      <xdr:colOff>600075</xdr:colOff>
      <xdr:row>23</xdr:row>
      <xdr:rowOff>95250</xdr:rowOff>
    </xdr:from>
    <xdr:to>
      <xdr:col>5</xdr:col>
      <xdr:colOff>66675</xdr:colOff>
      <xdr:row>23</xdr:row>
      <xdr:rowOff>95250</xdr:rowOff>
    </xdr:to>
    <xdr:sp macro="" textlink="">
      <xdr:nvSpPr>
        <xdr:cNvPr id="85" name="Line 84"/>
        <xdr:cNvSpPr>
          <a:spLocks noChangeShapeType="1"/>
        </xdr:cNvSpPr>
      </xdr:nvSpPr>
      <xdr:spPr bwMode="auto">
        <a:xfrm>
          <a:off x="3095625" y="3705225"/>
          <a:ext cx="85725" cy="0"/>
        </a:xfrm>
        <a:prstGeom prst="line">
          <a:avLst/>
        </a:prstGeom>
        <a:noFill/>
        <a:ln w="9525">
          <a:solidFill>
            <a:srgbClr val="000000"/>
          </a:solidFill>
          <a:round/>
          <a:headEnd/>
          <a:tailEnd/>
        </a:ln>
      </xdr:spPr>
    </xdr:sp>
    <xdr:clientData/>
  </xdr:twoCellAnchor>
  <xdr:twoCellAnchor>
    <xdr:from>
      <xdr:col>3</xdr:col>
      <xdr:colOff>190500</xdr:colOff>
      <xdr:row>23</xdr:row>
      <xdr:rowOff>95250</xdr:rowOff>
    </xdr:from>
    <xdr:to>
      <xdr:col>3</xdr:col>
      <xdr:colOff>190500</xdr:colOff>
      <xdr:row>28</xdr:row>
      <xdr:rowOff>9525</xdr:rowOff>
    </xdr:to>
    <xdr:sp macro="" textlink="">
      <xdr:nvSpPr>
        <xdr:cNvPr id="86" name="Line 85"/>
        <xdr:cNvSpPr>
          <a:spLocks noChangeShapeType="1"/>
        </xdr:cNvSpPr>
      </xdr:nvSpPr>
      <xdr:spPr bwMode="auto">
        <a:xfrm>
          <a:off x="2076450" y="3705225"/>
          <a:ext cx="0" cy="723900"/>
        </a:xfrm>
        <a:prstGeom prst="line">
          <a:avLst/>
        </a:prstGeom>
        <a:noFill/>
        <a:ln w="9525">
          <a:solidFill>
            <a:srgbClr val="000000"/>
          </a:solidFill>
          <a:round/>
          <a:headEnd/>
          <a:tailEnd/>
        </a:ln>
      </xdr:spPr>
    </xdr:sp>
    <xdr:clientData/>
  </xdr:twoCellAnchor>
  <xdr:twoCellAnchor>
    <xdr:from>
      <xdr:col>3</xdr:col>
      <xdr:colOff>123825</xdr:colOff>
      <xdr:row>23</xdr:row>
      <xdr:rowOff>85725</xdr:rowOff>
    </xdr:from>
    <xdr:to>
      <xdr:col>3</xdr:col>
      <xdr:colOff>200025</xdr:colOff>
      <xdr:row>23</xdr:row>
      <xdr:rowOff>95250</xdr:rowOff>
    </xdr:to>
    <xdr:sp macro="" textlink="">
      <xdr:nvSpPr>
        <xdr:cNvPr id="87" name="Line 86"/>
        <xdr:cNvSpPr>
          <a:spLocks noChangeShapeType="1"/>
        </xdr:cNvSpPr>
      </xdr:nvSpPr>
      <xdr:spPr bwMode="auto">
        <a:xfrm flipV="1">
          <a:off x="2009775" y="3695700"/>
          <a:ext cx="76200" cy="9525"/>
        </a:xfrm>
        <a:prstGeom prst="line">
          <a:avLst/>
        </a:prstGeom>
        <a:noFill/>
        <a:ln w="9525">
          <a:solidFill>
            <a:srgbClr val="000000"/>
          </a:solidFill>
          <a:round/>
          <a:headEnd/>
          <a:tailEnd/>
        </a:ln>
      </xdr:spPr>
    </xdr:sp>
    <xdr:clientData/>
  </xdr:twoCellAnchor>
  <xdr:twoCellAnchor>
    <xdr:from>
      <xdr:col>3</xdr:col>
      <xdr:colOff>209550</xdr:colOff>
      <xdr:row>28</xdr:row>
      <xdr:rowOff>0</xdr:rowOff>
    </xdr:from>
    <xdr:to>
      <xdr:col>4</xdr:col>
      <xdr:colOff>590550</xdr:colOff>
      <xdr:row>28</xdr:row>
      <xdr:rowOff>0</xdr:rowOff>
    </xdr:to>
    <xdr:sp macro="" textlink="">
      <xdr:nvSpPr>
        <xdr:cNvPr id="88" name="Line 87"/>
        <xdr:cNvSpPr>
          <a:spLocks noChangeShapeType="1"/>
        </xdr:cNvSpPr>
      </xdr:nvSpPr>
      <xdr:spPr bwMode="auto">
        <a:xfrm>
          <a:off x="2095500" y="4419600"/>
          <a:ext cx="990600" cy="0"/>
        </a:xfrm>
        <a:prstGeom prst="line">
          <a:avLst/>
        </a:prstGeom>
        <a:noFill/>
        <a:ln w="9525">
          <a:solidFill>
            <a:srgbClr val="000000"/>
          </a:solidFill>
          <a:round/>
          <a:headEnd/>
          <a:tailEnd/>
        </a:ln>
      </xdr:spPr>
    </xdr:sp>
    <xdr:clientData/>
  </xdr:twoCellAnchor>
  <xdr:twoCellAnchor>
    <xdr:from>
      <xdr:col>5</xdr:col>
      <xdr:colOff>590550</xdr:colOff>
      <xdr:row>4</xdr:row>
      <xdr:rowOff>9525</xdr:rowOff>
    </xdr:from>
    <xdr:to>
      <xdr:col>5</xdr:col>
      <xdr:colOff>590550</xdr:colOff>
      <xdr:row>8</xdr:row>
      <xdr:rowOff>0</xdr:rowOff>
    </xdr:to>
    <xdr:sp macro="" textlink="">
      <xdr:nvSpPr>
        <xdr:cNvPr id="89" name="Line 88"/>
        <xdr:cNvSpPr>
          <a:spLocks noChangeShapeType="1"/>
        </xdr:cNvSpPr>
      </xdr:nvSpPr>
      <xdr:spPr bwMode="auto">
        <a:xfrm flipV="1">
          <a:off x="3705225" y="542925"/>
          <a:ext cx="0" cy="638175"/>
        </a:xfrm>
        <a:prstGeom prst="line">
          <a:avLst/>
        </a:prstGeom>
        <a:noFill/>
        <a:ln w="9525">
          <a:solidFill>
            <a:srgbClr val="000000"/>
          </a:solidFill>
          <a:round/>
          <a:headEnd/>
          <a:tailEnd type="triangle" w="med" len="med"/>
        </a:ln>
      </xdr:spPr>
    </xdr:sp>
    <xdr:clientData/>
  </xdr:twoCellAnchor>
  <xdr:twoCellAnchor>
    <xdr:from>
      <xdr:col>5</xdr:col>
      <xdr:colOff>590550</xdr:colOff>
      <xdr:row>8</xdr:row>
      <xdr:rowOff>152400</xdr:rowOff>
    </xdr:from>
    <xdr:to>
      <xdr:col>5</xdr:col>
      <xdr:colOff>590550</xdr:colOff>
      <xdr:row>15</xdr:row>
      <xdr:rowOff>76200</xdr:rowOff>
    </xdr:to>
    <xdr:sp macro="" textlink="">
      <xdr:nvSpPr>
        <xdr:cNvPr id="90" name="Line 89"/>
        <xdr:cNvSpPr>
          <a:spLocks noChangeShapeType="1"/>
        </xdr:cNvSpPr>
      </xdr:nvSpPr>
      <xdr:spPr bwMode="auto">
        <a:xfrm>
          <a:off x="3705225" y="1333500"/>
          <a:ext cx="0" cy="1057275"/>
        </a:xfrm>
        <a:prstGeom prst="line">
          <a:avLst/>
        </a:prstGeom>
        <a:noFill/>
        <a:ln w="9525">
          <a:solidFill>
            <a:srgbClr val="000000"/>
          </a:solidFill>
          <a:round/>
          <a:headEnd/>
          <a:tailEnd type="triangle" w="med" len="med"/>
        </a:ln>
      </xdr:spPr>
    </xdr:sp>
    <xdr:clientData/>
  </xdr:twoCellAnchor>
  <xdr:twoCellAnchor>
    <xdr:from>
      <xdr:col>5</xdr:col>
      <xdr:colOff>533400</xdr:colOff>
      <xdr:row>16</xdr:row>
      <xdr:rowOff>38100</xdr:rowOff>
    </xdr:from>
    <xdr:to>
      <xdr:col>5</xdr:col>
      <xdr:colOff>533400</xdr:colOff>
      <xdr:row>17</xdr:row>
      <xdr:rowOff>0</xdr:rowOff>
    </xdr:to>
    <xdr:sp macro="" textlink="">
      <xdr:nvSpPr>
        <xdr:cNvPr id="91" name="Line 90"/>
        <xdr:cNvSpPr>
          <a:spLocks noChangeShapeType="1"/>
        </xdr:cNvSpPr>
      </xdr:nvSpPr>
      <xdr:spPr bwMode="auto">
        <a:xfrm>
          <a:off x="3648075" y="2514600"/>
          <a:ext cx="0" cy="123825"/>
        </a:xfrm>
        <a:prstGeom prst="line">
          <a:avLst/>
        </a:prstGeom>
        <a:noFill/>
        <a:ln w="9525">
          <a:solidFill>
            <a:srgbClr val="000000"/>
          </a:solidFill>
          <a:round/>
          <a:headEnd/>
          <a:tailEnd/>
        </a:ln>
      </xdr:spPr>
    </xdr:sp>
    <xdr:clientData/>
  </xdr:twoCellAnchor>
  <xdr:twoCellAnchor>
    <xdr:from>
      <xdr:col>6</xdr:col>
      <xdr:colOff>361950</xdr:colOff>
      <xdr:row>16</xdr:row>
      <xdr:rowOff>0</xdr:rowOff>
    </xdr:from>
    <xdr:to>
      <xdr:col>6</xdr:col>
      <xdr:colOff>533400</xdr:colOff>
      <xdr:row>16</xdr:row>
      <xdr:rowOff>0</xdr:rowOff>
    </xdr:to>
    <xdr:sp macro="" textlink="">
      <xdr:nvSpPr>
        <xdr:cNvPr id="92" name="Line 91"/>
        <xdr:cNvSpPr>
          <a:spLocks noChangeShapeType="1"/>
        </xdr:cNvSpPr>
      </xdr:nvSpPr>
      <xdr:spPr bwMode="auto">
        <a:xfrm>
          <a:off x="4095750" y="2476500"/>
          <a:ext cx="171450" cy="0"/>
        </a:xfrm>
        <a:prstGeom prst="line">
          <a:avLst/>
        </a:prstGeom>
        <a:noFill/>
        <a:ln w="9525">
          <a:solidFill>
            <a:srgbClr val="000000"/>
          </a:solidFill>
          <a:round/>
          <a:headEnd/>
          <a:tailEnd/>
        </a:ln>
      </xdr:spPr>
    </xdr:sp>
    <xdr:clientData/>
  </xdr:twoCellAnchor>
  <xdr:twoCellAnchor>
    <xdr:from>
      <xdr:col>5</xdr:col>
      <xdr:colOff>9525</xdr:colOff>
      <xdr:row>2</xdr:row>
      <xdr:rowOff>152400</xdr:rowOff>
    </xdr:from>
    <xdr:to>
      <xdr:col>5</xdr:col>
      <xdr:colOff>333375</xdr:colOff>
      <xdr:row>2</xdr:row>
      <xdr:rowOff>152400</xdr:rowOff>
    </xdr:to>
    <xdr:sp macro="" textlink="">
      <xdr:nvSpPr>
        <xdr:cNvPr id="93" name="Line 92"/>
        <xdr:cNvSpPr>
          <a:spLocks noChangeShapeType="1"/>
        </xdr:cNvSpPr>
      </xdr:nvSpPr>
      <xdr:spPr bwMode="auto">
        <a:xfrm>
          <a:off x="3124200" y="361950"/>
          <a:ext cx="323850" cy="0"/>
        </a:xfrm>
        <a:prstGeom prst="line">
          <a:avLst/>
        </a:prstGeom>
        <a:noFill/>
        <a:ln w="9525">
          <a:solidFill>
            <a:srgbClr val="000000"/>
          </a:solidFill>
          <a:round/>
          <a:headEnd/>
          <a:tailEnd type="triangle" w="med" len="med"/>
        </a:ln>
      </xdr:spPr>
    </xdr:sp>
    <xdr:clientData/>
  </xdr:twoCellAnchor>
  <xdr:twoCellAnchor>
    <xdr:from>
      <xdr:col>2</xdr:col>
      <xdr:colOff>447675</xdr:colOff>
      <xdr:row>2</xdr:row>
      <xdr:rowOff>152400</xdr:rowOff>
    </xdr:from>
    <xdr:to>
      <xdr:col>3</xdr:col>
      <xdr:colOff>85725</xdr:colOff>
      <xdr:row>2</xdr:row>
      <xdr:rowOff>152400</xdr:rowOff>
    </xdr:to>
    <xdr:sp macro="" textlink="">
      <xdr:nvSpPr>
        <xdr:cNvPr id="94" name="Line 93"/>
        <xdr:cNvSpPr>
          <a:spLocks noChangeShapeType="1"/>
        </xdr:cNvSpPr>
      </xdr:nvSpPr>
      <xdr:spPr bwMode="auto">
        <a:xfrm flipH="1">
          <a:off x="1724025" y="361950"/>
          <a:ext cx="247650" cy="0"/>
        </a:xfrm>
        <a:prstGeom prst="line">
          <a:avLst/>
        </a:prstGeom>
        <a:noFill/>
        <a:ln w="9525">
          <a:solidFill>
            <a:srgbClr val="000000"/>
          </a:solidFill>
          <a:round/>
          <a:headEnd/>
          <a:tailEnd type="triangle" w="med" len="med"/>
        </a:ln>
      </xdr:spPr>
    </xdr:sp>
    <xdr:clientData/>
  </xdr:twoCellAnchor>
  <xdr:twoCellAnchor>
    <xdr:from>
      <xdr:col>5</xdr:col>
      <xdr:colOff>381000</xdr:colOff>
      <xdr:row>4</xdr:row>
      <xdr:rowOff>19050</xdr:rowOff>
    </xdr:from>
    <xdr:to>
      <xdr:col>5</xdr:col>
      <xdr:colOff>381000</xdr:colOff>
      <xdr:row>4</xdr:row>
      <xdr:rowOff>123825</xdr:rowOff>
    </xdr:to>
    <xdr:sp macro="" textlink="">
      <xdr:nvSpPr>
        <xdr:cNvPr id="95" name="Line 94"/>
        <xdr:cNvSpPr>
          <a:spLocks noChangeShapeType="1"/>
        </xdr:cNvSpPr>
      </xdr:nvSpPr>
      <xdr:spPr bwMode="auto">
        <a:xfrm>
          <a:off x="3495675" y="552450"/>
          <a:ext cx="0" cy="104775"/>
        </a:xfrm>
        <a:prstGeom prst="line">
          <a:avLst/>
        </a:prstGeom>
        <a:noFill/>
        <a:ln w="9525">
          <a:solidFill>
            <a:srgbClr val="000000"/>
          </a:solidFill>
          <a:round/>
          <a:headEnd/>
          <a:tailEnd/>
        </a:ln>
      </xdr:spPr>
    </xdr:sp>
    <xdr:clientData/>
  </xdr:twoCellAnchor>
  <xdr:twoCellAnchor>
    <xdr:from>
      <xdr:col>6</xdr:col>
      <xdr:colOff>476250</xdr:colOff>
      <xdr:row>23</xdr:row>
      <xdr:rowOff>104775</xdr:rowOff>
    </xdr:from>
    <xdr:to>
      <xdr:col>6</xdr:col>
      <xdr:colOff>476250</xdr:colOff>
      <xdr:row>25</xdr:row>
      <xdr:rowOff>38100</xdr:rowOff>
    </xdr:to>
    <xdr:sp macro="" textlink="">
      <xdr:nvSpPr>
        <xdr:cNvPr id="96" name="Line 95"/>
        <xdr:cNvSpPr>
          <a:spLocks noChangeShapeType="1"/>
        </xdr:cNvSpPr>
      </xdr:nvSpPr>
      <xdr:spPr bwMode="auto">
        <a:xfrm flipV="1">
          <a:off x="4210050" y="3714750"/>
          <a:ext cx="0" cy="257175"/>
        </a:xfrm>
        <a:prstGeom prst="line">
          <a:avLst/>
        </a:prstGeom>
        <a:noFill/>
        <a:ln w="9525">
          <a:solidFill>
            <a:srgbClr val="000000"/>
          </a:solidFill>
          <a:round/>
          <a:headEnd/>
          <a:tailEnd type="triangle" w="med" len="med"/>
        </a:ln>
      </xdr:spPr>
    </xdr:sp>
    <xdr:clientData/>
  </xdr:twoCellAnchor>
  <xdr:twoCellAnchor>
    <xdr:from>
      <xdr:col>6</xdr:col>
      <xdr:colOff>476250</xdr:colOff>
      <xdr:row>26</xdr:row>
      <xdr:rowOff>0</xdr:rowOff>
    </xdr:from>
    <xdr:to>
      <xdr:col>6</xdr:col>
      <xdr:colOff>476250</xdr:colOff>
      <xdr:row>28</xdr:row>
      <xdr:rowOff>0</xdr:rowOff>
    </xdr:to>
    <xdr:sp macro="" textlink="">
      <xdr:nvSpPr>
        <xdr:cNvPr id="97" name="Line 96"/>
        <xdr:cNvSpPr>
          <a:spLocks noChangeShapeType="1"/>
        </xdr:cNvSpPr>
      </xdr:nvSpPr>
      <xdr:spPr bwMode="auto">
        <a:xfrm>
          <a:off x="4210050" y="4095750"/>
          <a:ext cx="0" cy="323850"/>
        </a:xfrm>
        <a:prstGeom prst="line">
          <a:avLst/>
        </a:prstGeom>
        <a:noFill/>
        <a:ln w="9525">
          <a:solidFill>
            <a:srgbClr val="000000"/>
          </a:solidFill>
          <a:round/>
          <a:headEnd/>
          <a:tailEnd type="triangle" w="med" len="med"/>
        </a:ln>
      </xdr:spPr>
    </xdr:sp>
    <xdr:clientData/>
  </xdr:twoCellAnchor>
  <xdr:twoCellAnchor>
    <xdr:from>
      <xdr:col>6</xdr:col>
      <xdr:colOff>333375</xdr:colOff>
      <xdr:row>23</xdr:row>
      <xdr:rowOff>114300</xdr:rowOff>
    </xdr:from>
    <xdr:to>
      <xdr:col>6</xdr:col>
      <xdr:colOff>581025</xdr:colOff>
      <xdr:row>23</xdr:row>
      <xdr:rowOff>114300</xdr:rowOff>
    </xdr:to>
    <xdr:sp macro="" textlink="">
      <xdr:nvSpPr>
        <xdr:cNvPr id="98" name="Line 97"/>
        <xdr:cNvSpPr>
          <a:spLocks noChangeShapeType="1"/>
        </xdr:cNvSpPr>
      </xdr:nvSpPr>
      <xdr:spPr bwMode="auto">
        <a:xfrm>
          <a:off x="4067175" y="3724275"/>
          <a:ext cx="247650" cy="0"/>
        </a:xfrm>
        <a:prstGeom prst="line">
          <a:avLst/>
        </a:prstGeom>
        <a:noFill/>
        <a:ln w="9525">
          <a:solidFill>
            <a:srgbClr val="000000"/>
          </a:solidFill>
          <a:round/>
          <a:headEnd/>
          <a:tailEnd/>
        </a:ln>
      </xdr:spPr>
    </xdr:sp>
    <xdr:clientData/>
  </xdr:twoCellAnchor>
  <xdr:twoCellAnchor>
    <xdr:from>
      <xdr:col>6</xdr:col>
      <xdr:colOff>361950</xdr:colOff>
      <xdr:row>18</xdr:row>
      <xdr:rowOff>28575</xdr:rowOff>
    </xdr:from>
    <xdr:to>
      <xdr:col>7</xdr:col>
      <xdr:colOff>0</xdr:colOff>
      <xdr:row>18</xdr:row>
      <xdr:rowOff>28575</xdr:rowOff>
    </xdr:to>
    <xdr:sp macro="" textlink="">
      <xdr:nvSpPr>
        <xdr:cNvPr id="99" name="Line 98"/>
        <xdr:cNvSpPr>
          <a:spLocks noChangeShapeType="1"/>
        </xdr:cNvSpPr>
      </xdr:nvSpPr>
      <xdr:spPr bwMode="auto">
        <a:xfrm>
          <a:off x="4095750" y="2828925"/>
          <a:ext cx="257175" cy="0"/>
        </a:xfrm>
        <a:prstGeom prst="line">
          <a:avLst/>
        </a:prstGeom>
        <a:noFill/>
        <a:ln w="9525">
          <a:solidFill>
            <a:srgbClr val="000000"/>
          </a:solidFill>
          <a:round/>
          <a:headEnd/>
          <a:tailEnd/>
        </a:ln>
      </xdr:spPr>
    </xdr:sp>
    <xdr:clientData/>
  </xdr:twoCellAnchor>
  <xdr:twoCellAnchor>
    <xdr:from>
      <xdr:col>6</xdr:col>
      <xdr:colOff>438150</xdr:colOff>
      <xdr:row>20</xdr:row>
      <xdr:rowOff>9525</xdr:rowOff>
    </xdr:from>
    <xdr:to>
      <xdr:col>6</xdr:col>
      <xdr:colOff>447675</xdr:colOff>
      <xdr:row>21</xdr:row>
      <xdr:rowOff>47625</xdr:rowOff>
    </xdr:to>
    <xdr:sp macro="" textlink="">
      <xdr:nvSpPr>
        <xdr:cNvPr id="100" name="Line 99"/>
        <xdr:cNvSpPr>
          <a:spLocks noChangeShapeType="1"/>
        </xdr:cNvSpPr>
      </xdr:nvSpPr>
      <xdr:spPr bwMode="auto">
        <a:xfrm flipV="1">
          <a:off x="4171950" y="3133725"/>
          <a:ext cx="9525" cy="200025"/>
        </a:xfrm>
        <a:prstGeom prst="line">
          <a:avLst/>
        </a:prstGeom>
        <a:noFill/>
        <a:ln w="9525">
          <a:solidFill>
            <a:srgbClr val="000000"/>
          </a:solidFill>
          <a:round/>
          <a:headEnd/>
          <a:tailEnd type="triangle" w="med" len="med"/>
        </a:ln>
      </xdr:spPr>
    </xdr:sp>
    <xdr:clientData/>
  </xdr:twoCellAnchor>
  <xdr:twoCellAnchor>
    <xdr:from>
      <xdr:col>6</xdr:col>
      <xdr:colOff>438150</xdr:colOff>
      <xdr:row>22</xdr:row>
      <xdr:rowOff>19050</xdr:rowOff>
    </xdr:from>
    <xdr:to>
      <xdr:col>6</xdr:col>
      <xdr:colOff>438150</xdr:colOff>
      <xdr:row>23</xdr:row>
      <xdr:rowOff>104775</xdr:rowOff>
    </xdr:to>
    <xdr:sp macro="" textlink="">
      <xdr:nvSpPr>
        <xdr:cNvPr id="101" name="Line 100"/>
        <xdr:cNvSpPr>
          <a:spLocks noChangeShapeType="1"/>
        </xdr:cNvSpPr>
      </xdr:nvSpPr>
      <xdr:spPr bwMode="auto">
        <a:xfrm>
          <a:off x="4171950" y="3467100"/>
          <a:ext cx="0" cy="247650"/>
        </a:xfrm>
        <a:prstGeom prst="line">
          <a:avLst/>
        </a:prstGeom>
        <a:noFill/>
        <a:ln w="9525">
          <a:solidFill>
            <a:srgbClr val="000000"/>
          </a:solidFill>
          <a:round/>
          <a:headEnd/>
          <a:tailEnd type="triangle" w="med" len="med"/>
        </a:ln>
      </xdr:spPr>
    </xdr:sp>
    <xdr:clientData/>
  </xdr:twoCellAnchor>
  <xdr:twoCellAnchor>
    <xdr:from>
      <xdr:col>6</xdr:col>
      <xdr:colOff>438150</xdr:colOff>
      <xdr:row>18</xdr:row>
      <xdr:rowOff>19050</xdr:rowOff>
    </xdr:from>
    <xdr:to>
      <xdr:col>6</xdr:col>
      <xdr:colOff>438150</xdr:colOff>
      <xdr:row>18</xdr:row>
      <xdr:rowOff>114300</xdr:rowOff>
    </xdr:to>
    <xdr:sp macro="" textlink="">
      <xdr:nvSpPr>
        <xdr:cNvPr id="102" name="Line 101"/>
        <xdr:cNvSpPr>
          <a:spLocks noChangeShapeType="1"/>
        </xdr:cNvSpPr>
      </xdr:nvSpPr>
      <xdr:spPr bwMode="auto">
        <a:xfrm flipV="1">
          <a:off x="4171950" y="2819400"/>
          <a:ext cx="0" cy="95250"/>
        </a:xfrm>
        <a:prstGeom prst="line">
          <a:avLst/>
        </a:prstGeom>
        <a:noFill/>
        <a:ln w="9525">
          <a:solidFill>
            <a:srgbClr val="000000"/>
          </a:solidFill>
          <a:round/>
          <a:headEnd/>
          <a:tailEnd type="triangle" w="med" len="med"/>
        </a:ln>
      </xdr:spPr>
    </xdr:sp>
    <xdr:clientData/>
  </xdr:twoCellAnchor>
  <xdr:twoCellAnchor>
    <xdr:from>
      <xdr:col>6</xdr:col>
      <xdr:colOff>447675</xdr:colOff>
      <xdr:row>19</xdr:row>
      <xdr:rowOff>66675</xdr:rowOff>
    </xdr:from>
    <xdr:to>
      <xdr:col>6</xdr:col>
      <xdr:colOff>447675</xdr:colOff>
      <xdr:row>20</xdr:row>
      <xdr:rowOff>19050</xdr:rowOff>
    </xdr:to>
    <xdr:sp macro="" textlink="">
      <xdr:nvSpPr>
        <xdr:cNvPr id="103" name="Line 102"/>
        <xdr:cNvSpPr>
          <a:spLocks noChangeShapeType="1"/>
        </xdr:cNvSpPr>
      </xdr:nvSpPr>
      <xdr:spPr bwMode="auto">
        <a:xfrm>
          <a:off x="4181475" y="3028950"/>
          <a:ext cx="0" cy="114300"/>
        </a:xfrm>
        <a:prstGeom prst="line">
          <a:avLst/>
        </a:prstGeom>
        <a:noFill/>
        <a:ln w="9525">
          <a:solidFill>
            <a:srgbClr val="000000"/>
          </a:solidFill>
          <a:round/>
          <a:headEnd/>
          <a:tailEnd type="triangle" w="med" len="med"/>
        </a:ln>
      </xdr:spPr>
    </xdr:sp>
    <xdr:clientData/>
  </xdr:twoCellAnchor>
  <xdr:twoCellAnchor>
    <xdr:from>
      <xdr:col>6</xdr:col>
      <xdr:colOff>314325</xdr:colOff>
      <xdr:row>20</xdr:row>
      <xdr:rowOff>9525</xdr:rowOff>
    </xdr:from>
    <xdr:to>
      <xdr:col>6</xdr:col>
      <xdr:colOff>561975</xdr:colOff>
      <xdr:row>20</xdr:row>
      <xdr:rowOff>19050</xdr:rowOff>
    </xdr:to>
    <xdr:sp macro="" textlink="">
      <xdr:nvSpPr>
        <xdr:cNvPr id="104" name="Line 103"/>
        <xdr:cNvSpPr>
          <a:spLocks noChangeShapeType="1"/>
        </xdr:cNvSpPr>
      </xdr:nvSpPr>
      <xdr:spPr bwMode="auto">
        <a:xfrm>
          <a:off x="4048125" y="3133725"/>
          <a:ext cx="247650" cy="9525"/>
        </a:xfrm>
        <a:prstGeom prst="line">
          <a:avLst/>
        </a:prstGeom>
        <a:noFill/>
        <a:ln w="9525">
          <a:solidFill>
            <a:srgbClr val="000000"/>
          </a:solidFill>
          <a:round/>
          <a:headEnd/>
          <a:tailEnd/>
        </a:ln>
      </xdr:spPr>
    </xdr:sp>
    <xdr:clientData/>
  </xdr:twoCellAnchor>
  <xdr:twoCellAnchor>
    <xdr:from>
      <xdr:col>6</xdr:col>
      <xdr:colOff>438150</xdr:colOff>
      <xdr:row>16</xdr:row>
      <xdr:rowOff>0</xdr:rowOff>
    </xdr:from>
    <xdr:to>
      <xdr:col>6</xdr:col>
      <xdr:colOff>438150</xdr:colOff>
      <xdr:row>16</xdr:row>
      <xdr:rowOff>104775</xdr:rowOff>
    </xdr:to>
    <xdr:sp macro="" textlink="">
      <xdr:nvSpPr>
        <xdr:cNvPr id="105" name="Line 104"/>
        <xdr:cNvSpPr>
          <a:spLocks noChangeShapeType="1"/>
        </xdr:cNvSpPr>
      </xdr:nvSpPr>
      <xdr:spPr bwMode="auto">
        <a:xfrm flipV="1">
          <a:off x="4171950" y="2476500"/>
          <a:ext cx="0" cy="104775"/>
        </a:xfrm>
        <a:prstGeom prst="line">
          <a:avLst/>
        </a:prstGeom>
        <a:noFill/>
        <a:ln w="9525">
          <a:solidFill>
            <a:srgbClr val="000000"/>
          </a:solidFill>
          <a:round/>
          <a:headEnd/>
          <a:tailEnd type="triangle" w="med" len="med"/>
        </a:ln>
      </xdr:spPr>
    </xdr:sp>
    <xdr:clientData/>
  </xdr:twoCellAnchor>
  <xdr:twoCellAnchor>
    <xdr:from>
      <xdr:col>6</xdr:col>
      <xdr:colOff>438150</xdr:colOff>
      <xdr:row>17</xdr:row>
      <xdr:rowOff>114300</xdr:rowOff>
    </xdr:from>
    <xdr:to>
      <xdr:col>6</xdr:col>
      <xdr:colOff>438150</xdr:colOff>
      <xdr:row>18</xdr:row>
      <xdr:rowOff>38100</xdr:rowOff>
    </xdr:to>
    <xdr:sp macro="" textlink="">
      <xdr:nvSpPr>
        <xdr:cNvPr id="106" name="Line 105"/>
        <xdr:cNvSpPr>
          <a:spLocks noChangeShapeType="1"/>
        </xdr:cNvSpPr>
      </xdr:nvSpPr>
      <xdr:spPr bwMode="auto">
        <a:xfrm>
          <a:off x="4171950" y="2752725"/>
          <a:ext cx="0" cy="85725"/>
        </a:xfrm>
        <a:prstGeom prst="line">
          <a:avLst/>
        </a:prstGeom>
        <a:noFill/>
        <a:ln w="9525">
          <a:solidFill>
            <a:srgbClr val="000000"/>
          </a:solidFill>
          <a:round/>
          <a:headEnd/>
          <a:tailEnd type="triangle" w="med" len="med"/>
        </a:ln>
      </xdr:spPr>
    </xdr:sp>
    <xdr:clientData/>
  </xdr:twoCellAnchor>
  <xdr:twoCellAnchor>
    <xdr:from>
      <xdr:col>5</xdr:col>
      <xdr:colOff>38100</xdr:colOff>
      <xdr:row>19</xdr:row>
      <xdr:rowOff>152400</xdr:rowOff>
    </xdr:from>
    <xdr:to>
      <xdr:col>5</xdr:col>
      <xdr:colOff>38100</xdr:colOff>
      <xdr:row>23</xdr:row>
      <xdr:rowOff>85725</xdr:rowOff>
    </xdr:to>
    <xdr:sp macro="" textlink="">
      <xdr:nvSpPr>
        <xdr:cNvPr id="107" name="Line 106"/>
        <xdr:cNvSpPr>
          <a:spLocks noChangeShapeType="1"/>
        </xdr:cNvSpPr>
      </xdr:nvSpPr>
      <xdr:spPr bwMode="auto">
        <a:xfrm flipV="1">
          <a:off x="3152775" y="3114675"/>
          <a:ext cx="0" cy="581025"/>
        </a:xfrm>
        <a:prstGeom prst="line">
          <a:avLst/>
        </a:prstGeom>
        <a:noFill/>
        <a:ln w="9525">
          <a:solidFill>
            <a:srgbClr val="000000"/>
          </a:solidFill>
          <a:round/>
          <a:headEnd/>
          <a:tailEnd/>
        </a:ln>
      </xdr:spPr>
    </xdr:sp>
    <xdr:clientData/>
  </xdr:twoCellAnchor>
  <xdr:twoCellAnchor>
    <xdr:from>
      <xdr:col>5</xdr:col>
      <xdr:colOff>28575</xdr:colOff>
      <xdr:row>19</xdr:row>
      <xdr:rowOff>152400</xdr:rowOff>
    </xdr:from>
    <xdr:to>
      <xdr:col>5</xdr:col>
      <xdr:colOff>85725</xdr:colOff>
      <xdr:row>19</xdr:row>
      <xdr:rowOff>152400</xdr:rowOff>
    </xdr:to>
    <xdr:sp macro="" textlink="">
      <xdr:nvSpPr>
        <xdr:cNvPr id="108" name="Line 107"/>
        <xdr:cNvSpPr>
          <a:spLocks noChangeShapeType="1"/>
        </xdr:cNvSpPr>
      </xdr:nvSpPr>
      <xdr:spPr bwMode="auto">
        <a:xfrm>
          <a:off x="3143250" y="3114675"/>
          <a:ext cx="57150" cy="0"/>
        </a:xfrm>
        <a:prstGeom prst="line">
          <a:avLst/>
        </a:prstGeom>
        <a:noFill/>
        <a:ln w="9525">
          <a:solidFill>
            <a:srgbClr val="000000"/>
          </a:solidFill>
          <a:round/>
          <a:headEnd/>
          <a:tailEnd/>
        </a:ln>
      </xdr:spPr>
    </xdr:sp>
    <xdr:clientData/>
  </xdr:twoCellAnchor>
  <xdr:twoCellAnchor>
    <xdr:from>
      <xdr:col>5</xdr:col>
      <xdr:colOff>95250</xdr:colOff>
      <xdr:row>18</xdr:row>
      <xdr:rowOff>0</xdr:rowOff>
    </xdr:from>
    <xdr:to>
      <xdr:col>5</xdr:col>
      <xdr:colOff>95250</xdr:colOff>
      <xdr:row>19</xdr:row>
      <xdr:rowOff>152400</xdr:rowOff>
    </xdr:to>
    <xdr:sp macro="" textlink="">
      <xdr:nvSpPr>
        <xdr:cNvPr id="109" name="Line 108"/>
        <xdr:cNvSpPr>
          <a:spLocks noChangeShapeType="1"/>
        </xdr:cNvSpPr>
      </xdr:nvSpPr>
      <xdr:spPr bwMode="auto">
        <a:xfrm flipV="1">
          <a:off x="3209925" y="2800350"/>
          <a:ext cx="0" cy="314325"/>
        </a:xfrm>
        <a:prstGeom prst="line">
          <a:avLst/>
        </a:prstGeom>
        <a:noFill/>
        <a:ln w="9525">
          <a:solidFill>
            <a:srgbClr val="000000"/>
          </a:solidFill>
          <a:round/>
          <a:headEnd/>
          <a:tailEnd/>
        </a:ln>
      </xdr:spPr>
    </xdr:sp>
    <xdr:clientData/>
  </xdr:twoCellAnchor>
  <xdr:twoCellAnchor>
    <xdr:from>
      <xdr:col>5</xdr:col>
      <xdr:colOff>104775</xdr:colOff>
      <xdr:row>17</xdr:row>
      <xdr:rowOff>152400</xdr:rowOff>
    </xdr:from>
    <xdr:to>
      <xdr:col>5</xdr:col>
      <xdr:colOff>133350</xdr:colOff>
      <xdr:row>17</xdr:row>
      <xdr:rowOff>152400</xdr:rowOff>
    </xdr:to>
    <xdr:sp macro="" textlink="">
      <xdr:nvSpPr>
        <xdr:cNvPr id="110" name="Line 109"/>
        <xdr:cNvSpPr>
          <a:spLocks noChangeShapeType="1"/>
        </xdr:cNvSpPr>
      </xdr:nvSpPr>
      <xdr:spPr bwMode="auto">
        <a:xfrm>
          <a:off x="3219450" y="2790825"/>
          <a:ext cx="28575" cy="0"/>
        </a:xfrm>
        <a:prstGeom prst="line">
          <a:avLst/>
        </a:prstGeom>
        <a:noFill/>
        <a:ln w="9525">
          <a:solidFill>
            <a:srgbClr val="000000"/>
          </a:solidFill>
          <a:round/>
          <a:headEnd/>
          <a:tailEnd/>
        </a:ln>
      </xdr:spPr>
    </xdr:sp>
    <xdr:clientData/>
  </xdr:twoCellAnchor>
  <xdr:twoCellAnchor>
    <xdr:from>
      <xdr:col>5</xdr:col>
      <xdr:colOff>133350</xdr:colOff>
      <xdr:row>16</xdr:row>
      <xdr:rowOff>9525</xdr:rowOff>
    </xdr:from>
    <xdr:to>
      <xdr:col>5</xdr:col>
      <xdr:colOff>133350</xdr:colOff>
      <xdr:row>17</xdr:row>
      <xdr:rowOff>142875</xdr:rowOff>
    </xdr:to>
    <xdr:sp macro="" textlink="">
      <xdr:nvSpPr>
        <xdr:cNvPr id="111" name="Line 110"/>
        <xdr:cNvSpPr>
          <a:spLocks noChangeShapeType="1"/>
        </xdr:cNvSpPr>
      </xdr:nvSpPr>
      <xdr:spPr bwMode="auto">
        <a:xfrm flipV="1">
          <a:off x="3248025" y="2486025"/>
          <a:ext cx="0" cy="295275"/>
        </a:xfrm>
        <a:prstGeom prst="line">
          <a:avLst/>
        </a:prstGeom>
        <a:noFill/>
        <a:ln w="9525">
          <a:solidFill>
            <a:srgbClr val="000000"/>
          </a:solidFill>
          <a:round/>
          <a:headEnd/>
          <a:tailEnd/>
        </a:ln>
      </xdr:spPr>
    </xdr:sp>
    <xdr:clientData/>
  </xdr:twoCellAnchor>
  <xdr:twoCellAnchor>
    <xdr:from>
      <xdr:col>3</xdr:col>
      <xdr:colOff>123825</xdr:colOff>
      <xdr:row>19</xdr:row>
      <xdr:rowOff>142875</xdr:rowOff>
    </xdr:from>
    <xdr:to>
      <xdr:col>3</xdr:col>
      <xdr:colOff>123825</xdr:colOff>
      <xdr:row>23</xdr:row>
      <xdr:rowOff>76200</xdr:rowOff>
    </xdr:to>
    <xdr:sp macro="" textlink="">
      <xdr:nvSpPr>
        <xdr:cNvPr id="112" name="Line 111"/>
        <xdr:cNvSpPr>
          <a:spLocks noChangeShapeType="1"/>
        </xdr:cNvSpPr>
      </xdr:nvSpPr>
      <xdr:spPr bwMode="auto">
        <a:xfrm flipV="1">
          <a:off x="2009775" y="3105150"/>
          <a:ext cx="0" cy="581025"/>
        </a:xfrm>
        <a:prstGeom prst="line">
          <a:avLst/>
        </a:prstGeom>
        <a:noFill/>
        <a:ln w="9525">
          <a:solidFill>
            <a:srgbClr val="000000"/>
          </a:solidFill>
          <a:round/>
          <a:headEnd/>
          <a:tailEnd/>
        </a:ln>
      </xdr:spPr>
    </xdr:sp>
    <xdr:clientData/>
  </xdr:twoCellAnchor>
  <xdr:twoCellAnchor>
    <xdr:from>
      <xdr:col>3</xdr:col>
      <xdr:colOff>76200</xdr:colOff>
      <xdr:row>18</xdr:row>
      <xdr:rowOff>0</xdr:rowOff>
    </xdr:from>
    <xdr:to>
      <xdr:col>3</xdr:col>
      <xdr:colOff>76200</xdr:colOff>
      <xdr:row>19</xdr:row>
      <xdr:rowOff>152400</xdr:rowOff>
    </xdr:to>
    <xdr:sp macro="" textlink="">
      <xdr:nvSpPr>
        <xdr:cNvPr id="113" name="Line 112"/>
        <xdr:cNvSpPr>
          <a:spLocks noChangeShapeType="1"/>
        </xdr:cNvSpPr>
      </xdr:nvSpPr>
      <xdr:spPr bwMode="auto">
        <a:xfrm flipV="1">
          <a:off x="1962150" y="2800350"/>
          <a:ext cx="0" cy="314325"/>
        </a:xfrm>
        <a:prstGeom prst="line">
          <a:avLst/>
        </a:prstGeom>
        <a:noFill/>
        <a:ln w="9525">
          <a:solidFill>
            <a:srgbClr val="000000"/>
          </a:solidFill>
          <a:round/>
          <a:headEnd/>
          <a:tailEnd/>
        </a:ln>
      </xdr:spPr>
    </xdr:sp>
    <xdr:clientData/>
  </xdr:twoCellAnchor>
  <xdr:twoCellAnchor>
    <xdr:from>
      <xdr:col>3</xdr:col>
      <xdr:colOff>38100</xdr:colOff>
      <xdr:row>16</xdr:row>
      <xdr:rowOff>19050</xdr:rowOff>
    </xdr:from>
    <xdr:to>
      <xdr:col>3</xdr:col>
      <xdr:colOff>38100</xdr:colOff>
      <xdr:row>17</xdr:row>
      <xdr:rowOff>152400</xdr:rowOff>
    </xdr:to>
    <xdr:sp macro="" textlink="">
      <xdr:nvSpPr>
        <xdr:cNvPr id="114" name="Line 113"/>
        <xdr:cNvSpPr>
          <a:spLocks noChangeShapeType="1"/>
        </xdr:cNvSpPr>
      </xdr:nvSpPr>
      <xdr:spPr bwMode="auto">
        <a:xfrm flipV="1">
          <a:off x="1924050" y="2495550"/>
          <a:ext cx="0" cy="295275"/>
        </a:xfrm>
        <a:prstGeom prst="line">
          <a:avLst/>
        </a:prstGeom>
        <a:noFill/>
        <a:ln w="9525">
          <a:solidFill>
            <a:srgbClr val="000000"/>
          </a:solidFill>
          <a:round/>
          <a:headEnd/>
          <a:tailEnd/>
        </a:ln>
      </xdr:spPr>
    </xdr:sp>
    <xdr:clientData/>
  </xdr:twoCellAnchor>
  <xdr:twoCellAnchor>
    <xdr:from>
      <xdr:col>3</xdr:col>
      <xdr:colOff>76200</xdr:colOff>
      <xdr:row>19</xdr:row>
      <xdr:rowOff>152400</xdr:rowOff>
    </xdr:from>
    <xdr:to>
      <xdr:col>3</xdr:col>
      <xdr:colOff>133350</xdr:colOff>
      <xdr:row>19</xdr:row>
      <xdr:rowOff>152400</xdr:rowOff>
    </xdr:to>
    <xdr:sp macro="" textlink="">
      <xdr:nvSpPr>
        <xdr:cNvPr id="115" name="Line 114"/>
        <xdr:cNvSpPr>
          <a:spLocks noChangeShapeType="1"/>
        </xdr:cNvSpPr>
      </xdr:nvSpPr>
      <xdr:spPr bwMode="auto">
        <a:xfrm>
          <a:off x="1962150" y="3114675"/>
          <a:ext cx="57150" cy="0"/>
        </a:xfrm>
        <a:prstGeom prst="line">
          <a:avLst/>
        </a:prstGeom>
        <a:noFill/>
        <a:ln w="9525">
          <a:solidFill>
            <a:srgbClr val="000000"/>
          </a:solidFill>
          <a:round/>
          <a:headEnd/>
          <a:tailEnd/>
        </a:ln>
      </xdr:spPr>
    </xdr:sp>
    <xdr:clientData/>
  </xdr:twoCellAnchor>
  <xdr:twoCellAnchor>
    <xdr:from>
      <xdr:col>3</xdr:col>
      <xdr:colOff>38100</xdr:colOff>
      <xdr:row>18</xdr:row>
      <xdr:rowOff>0</xdr:rowOff>
    </xdr:from>
    <xdr:to>
      <xdr:col>3</xdr:col>
      <xdr:colOff>85725</xdr:colOff>
      <xdr:row>18</xdr:row>
      <xdr:rowOff>0</xdr:rowOff>
    </xdr:to>
    <xdr:sp macro="" textlink="">
      <xdr:nvSpPr>
        <xdr:cNvPr id="116" name="Line 115"/>
        <xdr:cNvSpPr>
          <a:spLocks noChangeShapeType="1"/>
        </xdr:cNvSpPr>
      </xdr:nvSpPr>
      <xdr:spPr bwMode="auto">
        <a:xfrm flipH="1">
          <a:off x="1924050" y="2800350"/>
          <a:ext cx="47625" cy="0"/>
        </a:xfrm>
        <a:prstGeom prst="line">
          <a:avLst/>
        </a:prstGeom>
        <a:noFill/>
        <a:ln w="9525">
          <a:solidFill>
            <a:srgbClr val="000000"/>
          </a:solidFill>
          <a:round/>
          <a:headEnd/>
          <a:tailEnd/>
        </a:ln>
      </xdr:spPr>
    </xdr:sp>
    <xdr:clientData/>
  </xdr:twoCellAnchor>
  <xdr:twoCellAnchor>
    <xdr:from>
      <xdr:col>5</xdr:col>
      <xdr:colOff>523875</xdr:colOff>
      <xdr:row>13</xdr:row>
      <xdr:rowOff>66675</xdr:rowOff>
    </xdr:from>
    <xdr:to>
      <xdr:col>5</xdr:col>
      <xdr:colOff>523875</xdr:colOff>
      <xdr:row>15</xdr:row>
      <xdr:rowOff>76200</xdr:rowOff>
    </xdr:to>
    <xdr:sp macro="" textlink="">
      <xdr:nvSpPr>
        <xdr:cNvPr id="117" name="Line 116"/>
        <xdr:cNvSpPr>
          <a:spLocks noChangeShapeType="1"/>
        </xdr:cNvSpPr>
      </xdr:nvSpPr>
      <xdr:spPr bwMode="auto">
        <a:xfrm>
          <a:off x="3638550" y="2057400"/>
          <a:ext cx="0" cy="333375"/>
        </a:xfrm>
        <a:prstGeom prst="line">
          <a:avLst/>
        </a:prstGeom>
        <a:noFill/>
        <a:ln w="9525">
          <a:solidFill>
            <a:srgbClr val="000000"/>
          </a:solidFill>
          <a:round/>
          <a:headEnd/>
          <a:tailEnd/>
        </a:ln>
      </xdr:spPr>
    </xdr:sp>
    <xdr:clientData/>
  </xdr:twoCellAnchor>
  <xdr:twoCellAnchor>
    <xdr:from>
      <xdr:col>5</xdr:col>
      <xdr:colOff>495300</xdr:colOff>
      <xdr:row>13</xdr:row>
      <xdr:rowOff>76200</xdr:rowOff>
    </xdr:from>
    <xdr:to>
      <xdr:col>5</xdr:col>
      <xdr:colOff>495300</xdr:colOff>
      <xdr:row>15</xdr:row>
      <xdr:rowOff>85725</xdr:rowOff>
    </xdr:to>
    <xdr:sp macro="" textlink="">
      <xdr:nvSpPr>
        <xdr:cNvPr id="118" name="Line 117"/>
        <xdr:cNvSpPr>
          <a:spLocks noChangeShapeType="1"/>
        </xdr:cNvSpPr>
      </xdr:nvSpPr>
      <xdr:spPr bwMode="auto">
        <a:xfrm>
          <a:off x="3609975" y="2066925"/>
          <a:ext cx="0" cy="333375"/>
        </a:xfrm>
        <a:prstGeom prst="line">
          <a:avLst/>
        </a:prstGeom>
        <a:noFill/>
        <a:ln w="9525">
          <a:solidFill>
            <a:srgbClr val="000000"/>
          </a:solidFill>
          <a:round/>
          <a:headEnd/>
          <a:tailEnd/>
        </a:ln>
      </xdr:spPr>
    </xdr:sp>
    <xdr:clientData/>
  </xdr:twoCellAnchor>
  <xdr:twoCellAnchor>
    <xdr:from>
      <xdr:col>5</xdr:col>
      <xdr:colOff>485775</xdr:colOff>
      <xdr:row>13</xdr:row>
      <xdr:rowOff>76200</xdr:rowOff>
    </xdr:from>
    <xdr:to>
      <xdr:col>5</xdr:col>
      <xdr:colOff>514350</xdr:colOff>
      <xdr:row>13</xdr:row>
      <xdr:rowOff>76200</xdr:rowOff>
    </xdr:to>
    <xdr:sp macro="" textlink="">
      <xdr:nvSpPr>
        <xdr:cNvPr id="119" name="Line 118"/>
        <xdr:cNvSpPr>
          <a:spLocks noChangeShapeType="1"/>
        </xdr:cNvSpPr>
      </xdr:nvSpPr>
      <xdr:spPr bwMode="auto">
        <a:xfrm>
          <a:off x="3600450" y="2066925"/>
          <a:ext cx="28575" cy="0"/>
        </a:xfrm>
        <a:prstGeom prst="line">
          <a:avLst/>
        </a:prstGeom>
        <a:noFill/>
        <a:ln w="9525">
          <a:solidFill>
            <a:srgbClr val="000000"/>
          </a:solidFill>
          <a:round/>
          <a:headEnd/>
          <a:tailEnd/>
        </a:ln>
      </xdr:spPr>
    </xdr:sp>
    <xdr:clientData/>
  </xdr:twoCellAnchor>
  <xdr:twoCellAnchor>
    <xdr:from>
      <xdr:col>2</xdr:col>
      <xdr:colOff>361950</xdr:colOff>
      <xdr:row>13</xdr:row>
      <xdr:rowOff>76200</xdr:rowOff>
    </xdr:from>
    <xdr:to>
      <xdr:col>2</xdr:col>
      <xdr:colOff>361950</xdr:colOff>
      <xdr:row>15</xdr:row>
      <xdr:rowOff>85725</xdr:rowOff>
    </xdr:to>
    <xdr:sp macro="" textlink="">
      <xdr:nvSpPr>
        <xdr:cNvPr id="120" name="Line 119"/>
        <xdr:cNvSpPr>
          <a:spLocks noChangeShapeType="1"/>
        </xdr:cNvSpPr>
      </xdr:nvSpPr>
      <xdr:spPr bwMode="auto">
        <a:xfrm>
          <a:off x="1638300" y="2066925"/>
          <a:ext cx="0" cy="333375"/>
        </a:xfrm>
        <a:prstGeom prst="line">
          <a:avLst/>
        </a:prstGeom>
        <a:noFill/>
        <a:ln w="9525">
          <a:solidFill>
            <a:srgbClr val="000000"/>
          </a:solidFill>
          <a:round/>
          <a:headEnd/>
          <a:tailEnd/>
        </a:ln>
      </xdr:spPr>
    </xdr:sp>
    <xdr:clientData/>
  </xdr:twoCellAnchor>
  <xdr:twoCellAnchor>
    <xdr:from>
      <xdr:col>2</xdr:col>
      <xdr:colOff>333375</xdr:colOff>
      <xdr:row>13</xdr:row>
      <xdr:rowOff>85725</xdr:rowOff>
    </xdr:from>
    <xdr:to>
      <xdr:col>2</xdr:col>
      <xdr:colOff>333375</xdr:colOff>
      <xdr:row>15</xdr:row>
      <xdr:rowOff>95250</xdr:rowOff>
    </xdr:to>
    <xdr:sp macro="" textlink="">
      <xdr:nvSpPr>
        <xdr:cNvPr id="121" name="Line 120"/>
        <xdr:cNvSpPr>
          <a:spLocks noChangeShapeType="1"/>
        </xdr:cNvSpPr>
      </xdr:nvSpPr>
      <xdr:spPr bwMode="auto">
        <a:xfrm>
          <a:off x="1609725" y="2076450"/>
          <a:ext cx="0" cy="333375"/>
        </a:xfrm>
        <a:prstGeom prst="line">
          <a:avLst/>
        </a:prstGeom>
        <a:noFill/>
        <a:ln w="9525">
          <a:solidFill>
            <a:srgbClr val="000000"/>
          </a:solidFill>
          <a:round/>
          <a:headEnd/>
          <a:tailEnd/>
        </a:ln>
      </xdr:spPr>
    </xdr:sp>
    <xdr:clientData/>
  </xdr:twoCellAnchor>
  <xdr:twoCellAnchor>
    <xdr:from>
      <xdr:col>2</xdr:col>
      <xdr:colOff>314325</xdr:colOff>
      <xdr:row>13</xdr:row>
      <xdr:rowOff>66675</xdr:rowOff>
    </xdr:from>
    <xdr:to>
      <xdr:col>2</xdr:col>
      <xdr:colOff>352425</xdr:colOff>
      <xdr:row>13</xdr:row>
      <xdr:rowOff>66675</xdr:rowOff>
    </xdr:to>
    <xdr:sp macro="" textlink="">
      <xdr:nvSpPr>
        <xdr:cNvPr id="122" name="Line 121"/>
        <xdr:cNvSpPr>
          <a:spLocks noChangeShapeType="1"/>
        </xdr:cNvSpPr>
      </xdr:nvSpPr>
      <xdr:spPr bwMode="auto">
        <a:xfrm>
          <a:off x="1590675" y="2057400"/>
          <a:ext cx="38100" cy="0"/>
        </a:xfrm>
        <a:prstGeom prst="line">
          <a:avLst/>
        </a:prstGeom>
        <a:noFill/>
        <a:ln w="9525">
          <a:solidFill>
            <a:srgbClr val="000000"/>
          </a:solidFill>
          <a:round/>
          <a:headEnd/>
          <a:tailEnd/>
        </a:ln>
      </xdr:spPr>
    </xdr:sp>
    <xdr:clientData/>
  </xdr:twoCellAnchor>
  <xdr:twoCellAnchor>
    <xdr:from>
      <xdr:col>3</xdr:col>
      <xdr:colOff>266700</xdr:colOff>
      <xdr:row>28</xdr:row>
      <xdr:rowOff>9525</xdr:rowOff>
    </xdr:from>
    <xdr:to>
      <xdr:col>3</xdr:col>
      <xdr:colOff>266700</xdr:colOff>
      <xdr:row>30</xdr:row>
      <xdr:rowOff>114300</xdr:rowOff>
    </xdr:to>
    <xdr:sp macro="" textlink="">
      <xdr:nvSpPr>
        <xdr:cNvPr id="123" name="Line 122"/>
        <xdr:cNvSpPr>
          <a:spLocks noChangeShapeType="1"/>
        </xdr:cNvSpPr>
      </xdr:nvSpPr>
      <xdr:spPr bwMode="auto">
        <a:xfrm flipV="1">
          <a:off x="2152650" y="4429125"/>
          <a:ext cx="0" cy="428625"/>
        </a:xfrm>
        <a:prstGeom prst="line">
          <a:avLst/>
        </a:prstGeom>
        <a:noFill/>
        <a:ln w="9525">
          <a:solidFill>
            <a:srgbClr val="000000"/>
          </a:solidFill>
          <a:round/>
          <a:headEnd/>
          <a:tailEnd/>
        </a:ln>
      </xdr:spPr>
    </xdr:sp>
    <xdr:clientData/>
  </xdr:twoCellAnchor>
  <xdr:twoCellAnchor>
    <xdr:from>
      <xdr:col>2</xdr:col>
      <xdr:colOff>457200</xdr:colOff>
      <xdr:row>30</xdr:row>
      <xdr:rowOff>123825</xdr:rowOff>
    </xdr:from>
    <xdr:to>
      <xdr:col>3</xdr:col>
      <xdr:colOff>276225</xdr:colOff>
      <xdr:row>30</xdr:row>
      <xdr:rowOff>123825</xdr:rowOff>
    </xdr:to>
    <xdr:sp macro="" textlink="">
      <xdr:nvSpPr>
        <xdr:cNvPr id="124" name="Line 123"/>
        <xdr:cNvSpPr>
          <a:spLocks noChangeShapeType="1"/>
        </xdr:cNvSpPr>
      </xdr:nvSpPr>
      <xdr:spPr bwMode="auto">
        <a:xfrm>
          <a:off x="1733550" y="4867275"/>
          <a:ext cx="428625" cy="0"/>
        </a:xfrm>
        <a:prstGeom prst="line">
          <a:avLst/>
        </a:prstGeom>
        <a:noFill/>
        <a:ln w="9525">
          <a:solidFill>
            <a:srgbClr val="000000"/>
          </a:solidFill>
          <a:round/>
          <a:headEnd/>
          <a:tailEnd/>
        </a:ln>
      </xdr:spPr>
    </xdr:sp>
    <xdr:clientData/>
  </xdr:twoCellAnchor>
  <xdr:twoCellAnchor>
    <xdr:from>
      <xdr:col>4</xdr:col>
      <xdr:colOff>514350</xdr:colOff>
      <xdr:row>28</xdr:row>
      <xdr:rowOff>9525</xdr:rowOff>
    </xdr:from>
    <xdr:to>
      <xdr:col>4</xdr:col>
      <xdr:colOff>514350</xdr:colOff>
      <xdr:row>30</xdr:row>
      <xdr:rowOff>123825</xdr:rowOff>
    </xdr:to>
    <xdr:sp macro="" textlink="">
      <xdr:nvSpPr>
        <xdr:cNvPr id="125" name="Line 124"/>
        <xdr:cNvSpPr>
          <a:spLocks noChangeShapeType="1"/>
        </xdr:cNvSpPr>
      </xdr:nvSpPr>
      <xdr:spPr bwMode="auto">
        <a:xfrm>
          <a:off x="3009900" y="4429125"/>
          <a:ext cx="0" cy="438150"/>
        </a:xfrm>
        <a:prstGeom prst="line">
          <a:avLst/>
        </a:prstGeom>
        <a:noFill/>
        <a:ln w="9525">
          <a:solidFill>
            <a:srgbClr val="000000"/>
          </a:solidFill>
          <a:round/>
          <a:headEnd/>
          <a:tailEnd/>
        </a:ln>
      </xdr:spPr>
    </xdr:sp>
    <xdr:clientData/>
  </xdr:twoCellAnchor>
  <xdr:twoCellAnchor>
    <xdr:from>
      <xdr:col>4</xdr:col>
      <xdr:colOff>485775</xdr:colOff>
      <xdr:row>30</xdr:row>
      <xdr:rowOff>133350</xdr:rowOff>
    </xdr:from>
    <xdr:to>
      <xdr:col>5</xdr:col>
      <xdr:colOff>304800</xdr:colOff>
      <xdr:row>30</xdr:row>
      <xdr:rowOff>133350</xdr:rowOff>
    </xdr:to>
    <xdr:sp macro="" textlink="">
      <xdr:nvSpPr>
        <xdr:cNvPr id="126" name="Line 125"/>
        <xdr:cNvSpPr>
          <a:spLocks noChangeShapeType="1"/>
        </xdr:cNvSpPr>
      </xdr:nvSpPr>
      <xdr:spPr bwMode="auto">
        <a:xfrm>
          <a:off x="2981325" y="4876800"/>
          <a:ext cx="438150" cy="0"/>
        </a:xfrm>
        <a:prstGeom prst="line">
          <a:avLst/>
        </a:prstGeom>
        <a:noFill/>
        <a:ln w="9525">
          <a:solidFill>
            <a:srgbClr val="000000"/>
          </a:solidFill>
          <a:round/>
          <a:headEnd/>
          <a:tailEnd/>
        </a:ln>
      </xdr:spPr>
    </xdr:sp>
    <xdr:clientData/>
  </xdr:twoCellAnchor>
  <xdr:twoCellAnchor>
    <xdr:from>
      <xdr:col>4</xdr:col>
      <xdr:colOff>342900</xdr:colOff>
      <xdr:row>16</xdr:row>
      <xdr:rowOff>104775</xdr:rowOff>
    </xdr:from>
    <xdr:to>
      <xdr:col>5</xdr:col>
      <xdr:colOff>133350</xdr:colOff>
      <xdr:row>16</xdr:row>
      <xdr:rowOff>104775</xdr:rowOff>
    </xdr:to>
    <xdr:sp macro="" textlink="">
      <xdr:nvSpPr>
        <xdr:cNvPr id="127" name="Line 126"/>
        <xdr:cNvSpPr>
          <a:spLocks noChangeShapeType="1"/>
        </xdr:cNvSpPr>
      </xdr:nvSpPr>
      <xdr:spPr bwMode="auto">
        <a:xfrm>
          <a:off x="2838450" y="2581275"/>
          <a:ext cx="409575" cy="0"/>
        </a:xfrm>
        <a:prstGeom prst="line">
          <a:avLst/>
        </a:prstGeom>
        <a:noFill/>
        <a:ln w="9525">
          <a:solidFill>
            <a:srgbClr val="000000"/>
          </a:solidFill>
          <a:round/>
          <a:headEnd/>
          <a:tailEnd type="triangle" w="med" len="med"/>
        </a:ln>
      </xdr:spPr>
    </xdr:sp>
    <xdr:clientData/>
  </xdr:twoCellAnchor>
  <xdr:twoCellAnchor>
    <xdr:from>
      <xdr:col>3</xdr:col>
      <xdr:colOff>38100</xdr:colOff>
      <xdr:row>16</xdr:row>
      <xdr:rowOff>104775</xdr:rowOff>
    </xdr:from>
    <xdr:to>
      <xdr:col>3</xdr:col>
      <xdr:colOff>314325</xdr:colOff>
      <xdr:row>16</xdr:row>
      <xdr:rowOff>104775</xdr:rowOff>
    </xdr:to>
    <xdr:sp macro="" textlink="">
      <xdr:nvSpPr>
        <xdr:cNvPr id="128" name="Line 127"/>
        <xdr:cNvSpPr>
          <a:spLocks noChangeShapeType="1"/>
        </xdr:cNvSpPr>
      </xdr:nvSpPr>
      <xdr:spPr bwMode="auto">
        <a:xfrm flipH="1">
          <a:off x="1924050" y="2581275"/>
          <a:ext cx="276225" cy="0"/>
        </a:xfrm>
        <a:prstGeom prst="line">
          <a:avLst/>
        </a:prstGeom>
        <a:noFill/>
        <a:ln w="9525">
          <a:solidFill>
            <a:srgbClr val="000000"/>
          </a:solidFill>
          <a:round/>
          <a:headEnd/>
          <a:tailEnd type="triangle" w="med" len="med"/>
        </a:ln>
      </xdr:spPr>
    </xdr:sp>
    <xdr:clientData/>
  </xdr:twoCellAnchor>
</xdr:wsDr>
</file>

<file path=xl/drawings/drawing16.xml><?xml version="1.0" encoding="utf-8"?>
<xdr:wsDr xmlns:xdr="http://schemas.openxmlformats.org/drawingml/2006/spreadsheetDrawing" xmlns:a="http://schemas.openxmlformats.org/drawingml/2006/main">
  <xdr:twoCellAnchor>
    <xdr:from>
      <xdr:col>43</xdr:col>
      <xdr:colOff>190500</xdr:colOff>
      <xdr:row>78</xdr:row>
      <xdr:rowOff>0</xdr:rowOff>
    </xdr:from>
    <xdr:to>
      <xdr:col>43</xdr:col>
      <xdr:colOff>295275</xdr:colOff>
      <xdr:row>78</xdr:row>
      <xdr:rowOff>0</xdr:rowOff>
    </xdr:to>
    <xdr:sp macro="" textlink="">
      <xdr:nvSpPr>
        <xdr:cNvPr id="2" name="Line 1"/>
        <xdr:cNvSpPr>
          <a:spLocks noChangeShapeType="1"/>
        </xdr:cNvSpPr>
      </xdr:nvSpPr>
      <xdr:spPr bwMode="auto">
        <a:xfrm>
          <a:off x="6610350" y="17973675"/>
          <a:ext cx="0" cy="0"/>
        </a:xfrm>
        <a:prstGeom prst="line">
          <a:avLst/>
        </a:prstGeom>
        <a:noFill/>
        <a:ln w="9525">
          <a:solidFill>
            <a:srgbClr val="000000"/>
          </a:solidFill>
          <a:round/>
          <a:headEnd/>
          <a:tailEnd/>
        </a:ln>
      </xdr:spPr>
    </xdr:sp>
    <xdr:clientData/>
  </xdr:twoCellAnchor>
  <xdr:twoCellAnchor>
    <xdr:from>
      <xdr:col>66</xdr:col>
      <xdr:colOff>161925</xdr:colOff>
      <xdr:row>132</xdr:row>
      <xdr:rowOff>0</xdr:rowOff>
    </xdr:from>
    <xdr:to>
      <xdr:col>66</xdr:col>
      <xdr:colOff>285750</xdr:colOff>
      <xdr:row>132</xdr:row>
      <xdr:rowOff>0</xdr:rowOff>
    </xdr:to>
    <xdr:sp macro="" textlink="">
      <xdr:nvSpPr>
        <xdr:cNvPr id="3" name="Line 2"/>
        <xdr:cNvSpPr>
          <a:spLocks noChangeShapeType="1"/>
        </xdr:cNvSpPr>
      </xdr:nvSpPr>
      <xdr:spPr bwMode="auto">
        <a:xfrm flipV="1">
          <a:off x="6610350" y="28927425"/>
          <a:ext cx="0" cy="0"/>
        </a:xfrm>
        <a:prstGeom prst="line">
          <a:avLst/>
        </a:prstGeom>
        <a:noFill/>
        <a:ln w="9525">
          <a:solidFill>
            <a:srgbClr val="000000"/>
          </a:solidFill>
          <a:round/>
          <a:headEnd/>
          <a:tailEnd/>
        </a:ln>
      </xdr:spPr>
    </xdr:sp>
    <xdr:clientData/>
  </xdr:twoCellAnchor>
  <xdr:twoCellAnchor>
    <xdr:from>
      <xdr:col>28</xdr:col>
      <xdr:colOff>219075</xdr:colOff>
      <xdr:row>78</xdr:row>
      <xdr:rowOff>0</xdr:rowOff>
    </xdr:from>
    <xdr:to>
      <xdr:col>28</xdr:col>
      <xdr:colOff>323850</xdr:colOff>
      <xdr:row>78</xdr:row>
      <xdr:rowOff>0</xdr:rowOff>
    </xdr:to>
    <xdr:sp macro="" textlink="">
      <xdr:nvSpPr>
        <xdr:cNvPr id="4" name="Line 18"/>
        <xdr:cNvSpPr>
          <a:spLocks noChangeShapeType="1"/>
        </xdr:cNvSpPr>
      </xdr:nvSpPr>
      <xdr:spPr bwMode="auto">
        <a:xfrm>
          <a:off x="6610350" y="17973675"/>
          <a:ext cx="0" cy="0"/>
        </a:xfrm>
        <a:prstGeom prst="line">
          <a:avLst/>
        </a:prstGeom>
        <a:noFill/>
        <a:ln w="9525">
          <a:solidFill>
            <a:srgbClr val="000000"/>
          </a:solidFill>
          <a:round/>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dr:col>44</xdr:col>
      <xdr:colOff>190500</xdr:colOff>
      <xdr:row>156</xdr:row>
      <xdr:rowOff>0</xdr:rowOff>
    </xdr:from>
    <xdr:to>
      <xdr:col>44</xdr:col>
      <xdr:colOff>295275</xdr:colOff>
      <xdr:row>156</xdr:row>
      <xdr:rowOff>0</xdr:rowOff>
    </xdr:to>
    <xdr:sp macro="" textlink="">
      <xdr:nvSpPr>
        <xdr:cNvPr id="2" name="Line 1"/>
        <xdr:cNvSpPr>
          <a:spLocks noChangeShapeType="1"/>
        </xdr:cNvSpPr>
      </xdr:nvSpPr>
      <xdr:spPr bwMode="auto">
        <a:xfrm>
          <a:off x="26841450" y="26069925"/>
          <a:ext cx="104775" cy="0"/>
        </a:xfrm>
        <a:prstGeom prst="line">
          <a:avLst/>
        </a:prstGeom>
        <a:noFill/>
        <a:ln w="9525">
          <a:solidFill>
            <a:srgbClr val="000000"/>
          </a:solidFill>
          <a:round/>
          <a:headEnd/>
          <a:tailEnd/>
        </a:ln>
      </xdr:spPr>
    </xdr:sp>
    <xdr:clientData/>
  </xdr:twoCellAnchor>
  <xdr:twoCellAnchor>
    <xdr:from>
      <xdr:col>2</xdr:col>
      <xdr:colOff>219075</xdr:colOff>
      <xdr:row>170</xdr:row>
      <xdr:rowOff>47625</xdr:rowOff>
    </xdr:from>
    <xdr:to>
      <xdr:col>2</xdr:col>
      <xdr:colOff>323850</xdr:colOff>
      <xdr:row>170</xdr:row>
      <xdr:rowOff>47625</xdr:rowOff>
    </xdr:to>
    <xdr:sp macro="" textlink="">
      <xdr:nvSpPr>
        <xdr:cNvPr id="3" name="Line 2"/>
        <xdr:cNvSpPr>
          <a:spLocks noChangeShapeType="1"/>
        </xdr:cNvSpPr>
      </xdr:nvSpPr>
      <xdr:spPr bwMode="auto">
        <a:xfrm>
          <a:off x="1495425" y="28422600"/>
          <a:ext cx="104775" cy="0"/>
        </a:xfrm>
        <a:prstGeom prst="line">
          <a:avLst/>
        </a:prstGeom>
        <a:noFill/>
        <a:ln w="9525">
          <a:solidFill>
            <a:srgbClr val="000000"/>
          </a:solidFill>
          <a:round/>
          <a:headEnd/>
          <a:tailEnd/>
        </a:ln>
      </xdr:spPr>
    </xdr:sp>
    <xdr:clientData/>
  </xdr:twoCellAnchor>
  <xdr:twoCellAnchor>
    <xdr:from>
      <xdr:col>2</xdr:col>
      <xdr:colOff>19050</xdr:colOff>
      <xdr:row>171</xdr:row>
      <xdr:rowOff>0</xdr:rowOff>
    </xdr:from>
    <xdr:to>
      <xdr:col>2</xdr:col>
      <xdr:colOff>123825</xdr:colOff>
      <xdr:row>171</xdr:row>
      <xdr:rowOff>0</xdr:rowOff>
    </xdr:to>
    <xdr:sp macro="" textlink="">
      <xdr:nvSpPr>
        <xdr:cNvPr id="4" name="Line 3"/>
        <xdr:cNvSpPr>
          <a:spLocks noChangeShapeType="1"/>
        </xdr:cNvSpPr>
      </xdr:nvSpPr>
      <xdr:spPr bwMode="auto">
        <a:xfrm>
          <a:off x="1295400" y="28536900"/>
          <a:ext cx="104775" cy="0"/>
        </a:xfrm>
        <a:prstGeom prst="line">
          <a:avLst/>
        </a:prstGeom>
        <a:noFill/>
        <a:ln w="9525">
          <a:solidFill>
            <a:srgbClr val="000000"/>
          </a:solidFill>
          <a:round/>
          <a:headEnd/>
          <a:tailEnd/>
        </a:ln>
      </xdr:spPr>
    </xdr:sp>
    <xdr:clientData/>
  </xdr:twoCellAnchor>
  <xdr:twoCellAnchor>
    <xdr:from>
      <xdr:col>55</xdr:col>
      <xdr:colOff>190500</xdr:colOff>
      <xdr:row>159</xdr:row>
      <xdr:rowOff>123825</xdr:rowOff>
    </xdr:from>
    <xdr:to>
      <xdr:col>55</xdr:col>
      <xdr:colOff>295275</xdr:colOff>
      <xdr:row>159</xdr:row>
      <xdr:rowOff>123825</xdr:rowOff>
    </xdr:to>
    <xdr:sp macro="" textlink="">
      <xdr:nvSpPr>
        <xdr:cNvPr id="5" name="Line 4"/>
        <xdr:cNvSpPr>
          <a:spLocks noChangeShapeType="1"/>
        </xdr:cNvSpPr>
      </xdr:nvSpPr>
      <xdr:spPr bwMode="auto">
        <a:xfrm>
          <a:off x="33547050" y="26717625"/>
          <a:ext cx="104775" cy="0"/>
        </a:xfrm>
        <a:prstGeom prst="line">
          <a:avLst/>
        </a:prstGeom>
        <a:noFill/>
        <a:ln w="9525">
          <a:solidFill>
            <a:srgbClr val="000000"/>
          </a:solidFill>
          <a:round/>
          <a:headEnd/>
          <a:tailEnd/>
        </a:ln>
      </xdr:spPr>
    </xdr:sp>
    <xdr:clientData/>
  </xdr:twoCellAnchor>
  <xdr:twoCellAnchor>
    <xdr:from>
      <xdr:col>3</xdr:col>
      <xdr:colOff>219075</xdr:colOff>
      <xdr:row>190</xdr:row>
      <xdr:rowOff>0</xdr:rowOff>
    </xdr:from>
    <xdr:to>
      <xdr:col>3</xdr:col>
      <xdr:colOff>323850</xdr:colOff>
      <xdr:row>190</xdr:row>
      <xdr:rowOff>0</xdr:rowOff>
    </xdr:to>
    <xdr:sp macro="" textlink="">
      <xdr:nvSpPr>
        <xdr:cNvPr id="6" name="Line 5"/>
        <xdr:cNvSpPr>
          <a:spLocks noChangeShapeType="1"/>
        </xdr:cNvSpPr>
      </xdr:nvSpPr>
      <xdr:spPr bwMode="auto">
        <a:xfrm>
          <a:off x="2114550" y="31289625"/>
          <a:ext cx="104775" cy="0"/>
        </a:xfrm>
        <a:prstGeom prst="line">
          <a:avLst/>
        </a:prstGeom>
        <a:noFill/>
        <a:ln w="9525">
          <a:solidFill>
            <a:srgbClr val="000000"/>
          </a:solidFill>
          <a:round/>
          <a:headEnd/>
          <a:tailEnd/>
        </a:ln>
      </xdr:spPr>
    </xdr:sp>
    <xdr:clientData/>
  </xdr:twoCellAnchor>
  <xdr:twoCellAnchor>
    <xdr:from>
      <xdr:col>67</xdr:col>
      <xdr:colOff>161925</xdr:colOff>
      <xdr:row>190</xdr:row>
      <xdr:rowOff>0</xdr:rowOff>
    </xdr:from>
    <xdr:to>
      <xdr:col>67</xdr:col>
      <xdr:colOff>285750</xdr:colOff>
      <xdr:row>190</xdr:row>
      <xdr:rowOff>0</xdr:rowOff>
    </xdr:to>
    <xdr:sp macro="" textlink="">
      <xdr:nvSpPr>
        <xdr:cNvPr id="7" name="Line 6"/>
        <xdr:cNvSpPr>
          <a:spLocks noChangeShapeType="1"/>
        </xdr:cNvSpPr>
      </xdr:nvSpPr>
      <xdr:spPr bwMode="auto">
        <a:xfrm flipV="1">
          <a:off x="40833675" y="31289625"/>
          <a:ext cx="123825" cy="0"/>
        </a:xfrm>
        <a:prstGeom prst="line">
          <a:avLst/>
        </a:prstGeom>
        <a:noFill/>
        <a:ln w="9525">
          <a:solidFill>
            <a:srgbClr val="000000"/>
          </a:solidFill>
          <a:round/>
          <a:headEnd/>
          <a:tailEnd/>
        </a:ln>
      </xdr:spPr>
    </xdr:sp>
    <xdr:clientData/>
  </xdr:twoCellAnchor>
  <xdr:twoCellAnchor>
    <xdr:from>
      <xdr:col>3</xdr:col>
      <xdr:colOff>514350</xdr:colOff>
      <xdr:row>191</xdr:row>
      <xdr:rowOff>47625</xdr:rowOff>
    </xdr:from>
    <xdr:to>
      <xdr:col>3</xdr:col>
      <xdr:colOff>600075</xdr:colOff>
      <xdr:row>191</xdr:row>
      <xdr:rowOff>47625</xdr:rowOff>
    </xdr:to>
    <xdr:sp macro="" textlink="">
      <xdr:nvSpPr>
        <xdr:cNvPr id="8" name="Line 7"/>
        <xdr:cNvSpPr>
          <a:spLocks noChangeShapeType="1"/>
        </xdr:cNvSpPr>
      </xdr:nvSpPr>
      <xdr:spPr bwMode="auto">
        <a:xfrm>
          <a:off x="2409825" y="31499175"/>
          <a:ext cx="85725" cy="0"/>
        </a:xfrm>
        <a:prstGeom prst="line">
          <a:avLst/>
        </a:prstGeom>
        <a:noFill/>
        <a:ln w="9525">
          <a:solidFill>
            <a:srgbClr val="000000"/>
          </a:solidFill>
          <a:round/>
          <a:headEnd/>
          <a:tailEnd/>
        </a:ln>
      </xdr:spPr>
    </xdr:sp>
    <xdr:clientData/>
  </xdr:twoCellAnchor>
  <xdr:twoCellAnchor>
    <xdr:from>
      <xdr:col>3</xdr:col>
      <xdr:colOff>219075</xdr:colOff>
      <xdr:row>192</xdr:row>
      <xdr:rowOff>0</xdr:rowOff>
    </xdr:from>
    <xdr:to>
      <xdr:col>3</xdr:col>
      <xdr:colOff>323850</xdr:colOff>
      <xdr:row>192</xdr:row>
      <xdr:rowOff>0</xdr:rowOff>
    </xdr:to>
    <xdr:sp macro="" textlink="">
      <xdr:nvSpPr>
        <xdr:cNvPr id="9" name="Line 8"/>
        <xdr:cNvSpPr>
          <a:spLocks noChangeShapeType="1"/>
        </xdr:cNvSpPr>
      </xdr:nvSpPr>
      <xdr:spPr bwMode="auto">
        <a:xfrm>
          <a:off x="2114550" y="31613475"/>
          <a:ext cx="104775" cy="0"/>
        </a:xfrm>
        <a:prstGeom prst="line">
          <a:avLst/>
        </a:prstGeom>
        <a:noFill/>
        <a:ln w="9525">
          <a:solidFill>
            <a:srgbClr val="000000"/>
          </a:solidFill>
          <a:round/>
          <a:headEnd/>
          <a:tailEnd/>
        </a:ln>
      </xdr:spPr>
    </xdr:sp>
    <xdr:clientData/>
  </xdr:twoCellAnchor>
  <xdr:twoCellAnchor>
    <xdr:from>
      <xdr:col>4</xdr:col>
      <xdr:colOff>0</xdr:colOff>
      <xdr:row>53</xdr:row>
      <xdr:rowOff>19050</xdr:rowOff>
    </xdr:from>
    <xdr:to>
      <xdr:col>5</xdr:col>
      <xdr:colOff>9525</xdr:colOff>
      <xdr:row>55</xdr:row>
      <xdr:rowOff>9525</xdr:rowOff>
    </xdr:to>
    <xdr:sp macro="" textlink="">
      <xdr:nvSpPr>
        <xdr:cNvPr id="10" name="Rectangle 9"/>
        <xdr:cNvSpPr>
          <a:spLocks noChangeArrowheads="1"/>
        </xdr:cNvSpPr>
      </xdr:nvSpPr>
      <xdr:spPr bwMode="auto">
        <a:xfrm>
          <a:off x="2514600" y="8601075"/>
          <a:ext cx="628650" cy="314325"/>
        </a:xfrm>
        <a:prstGeom prst="rect">
          <a:avLst/>
        </a:prstGeom>
        <a:noFill/>
        <a:ln w="9525">
          <a:solidFill>
            <a:srgbClr val="000000"/>
          </a:solidFill>
          <a:miter lim="800000"/>
          <a:headEnd/>
          <a:tailEnd/>
        </a:ln>
      </xdr:spPr>
    </xdr:sp>
    <xdr:clientData/>
  </xdr:twoCellAnchor>
  <xdr:twoCellAnchor>
    <xdr:from>
      <xdr:col>4</xdr:col>
      <xdr:colOff>190500</xdr:colOff>
      <xdr:row>55</xdr:row>
      <xdr:rowOff>9525</xdr:rowOff>
    </xdr:from>
    <xdr:to>
      <xdr:col>4</xdr:col>
      <xdr:colOff>190500</xdr:colOff>
      <xdr:row>61</xdr:row>
      <xdr:rowOff>57150</xdr:rowOff>
    </xdr:to>
    <xdr:sp macro="" textlink="">
      <xdr:nvSpPr>
        <xdr:cNvPr id="11" name="Line 10"/>
        <xdr:cNvSpPr>
          <a:spLocks noChangeShapeType="1"/>
        </xdr:cNvSpPr>
      </xdr:nvSpPr>
      <xdr:spPr bwMode="auto">
        <a:xfrm>
          <a:off x="2705100" y="8915400"/>
          <a:ext cx="0" cy="1019175"/>
        </a:xfrm>
        <a:prstGeom prst="line">
          <a:avLst/>
        </a:prstGeom>
        <a:noFill/>
        <a:ln w="9525">
          <a:solidFill>
            <a:srgbClr val="000000"/>
          </a:solidFill>
          <a:round/>
          <a:headEnd/>
          <a:tailEnd/>
        </a:ln>
      </xdr:spPr>
    </xdr:sp>
    <xdr:clientData/>
  </xdr:twoCellAnchor>
  <xdr:twoCellAnchor>
    <xdr:from>
      <xdr:col>4</xdr:col>
      <xdr:colOff>428625</xdr:colOff>
      <xdr:row>55</xdr:row>
      <xdr:rowOff>19050</xdr:rowOff>
    </xdr:from>
    <xdr:to>
      <xdr:col>4</xdr:col>
      <xdr:colOff>428625</xdr:colOff>
      <xdr:row>61</xdr:row>
      <xdr:rowOff>47625</xdr:rowOff>
    </xdr:to>
    <xdr:sp macro="" textlink="">
      <xdr:nvSpPr>
        <xdr:cNvPr id="12" name="Line 11"/>
        <xdr:cNvSpPr>
          <a:spLocks noChangeShapeType="1"/>
        </xdr:cNvSpPr>
      </xdr:nvSpPr>
      <xdr:spPr bwMode="auto">
        <a:xfrm>
          <a:off x="2943225" y="8924925"/>
          <a:ext cx="0" cy="1000125"/>
        </a:xfrm>
        <a:prstGeom prst="line">
          <a:avLst/>
        </a:prstGeom>
        <a:noFill/>
        <a:ln w="9525">
          <a:solidFill>
            <a:srgbClr val="000000"/>
          </a:solidFill>
          <a:round/>
          <a:headEnd/>
          <a:tailEnd/>
        </a:ln>
      </xdr:spPr>
    </xdr:sp>
    <xdr:clientData/>
  </xdr:twoCellAnchor>
  <xdr:twoCellAnchor>
    <xdr:from>
      <xdr:col>4</xdr:col>
      <xdr:colOff>28575</xdr:colOff>
      <xdr:row>61</xdr:row>
      <xdr:rowOff>66675</xdr:rowOff>
    </xdr:from>
    <xdr:to>
      <xdr:col>4</xdr:col>
      <xdr:colOff>590550</xdr:colOff>
      <xdr:row>61</xdr:row>
      <xdr:rowOff>66675</xdr:rowOff>
    </xdr:to>
    <xdr:sp macro="" textlink="">
      <xdr:nvSpPr>
        <xdr:cNvPr id="13" name="Line 12"/>
        <xdr:cNvSpPr>
          <a:spLocks noChangeShapeType="1"/>
        </xdr:cNvSpPr>
      </xdr:nvSpPr>
      <xdr:spPr bwMode="auto">
        <a:xfrm>
          <a:off x="2543175" y="9944100"/>
          <a:ext cx="561975" cy="0"/>
        </a:xfrm>
        <a:prstGeom prst="line">
          <a:avLst/>
        </a:prstGeom>
        <a:noFill/>
        <a:ln w="9525">
          <a:solidFill>
            <a:srgbClr val="000000"/>
          </a:solidFill>
          <a:round/>
          <a:headEnd/>
          <a:tailEnd/>
        </a:ln>
      </xdr:spPr>
    </xdr:sp>
    <xdr:clientData/>
  </xdr:twoCellAnchor>
  <xdr:twoCellAnchor>
    <xdr:from>
      <xdr:col>22</xdr:col>
      <xdr:colOff>400050</xdr:colOff>
      <xdr:row>55</xdr:row>
      <xdr:rowOff>47625</xdr:rowOff>
    </xdr:from>
    <xdr:to>
      <xdr:col>23</xdr:col>
      <xdr:colOff>304800</xdr:colOff>
      <xdr:row>56</xdr:row>
      <xdr:rowOff>0</xdr:rowOff>
    </xdr:to>
    <xdr:sp macro="" textlink="">
      <xdr:nvSpPr>
        <xdr:cNvPr id="14" name="Oval 13"/>
        <xdr:cNvSpPr>
          <a:spLocks noChangeArrowheads="1"/>
        </xdr:cNvSpPr>
      </xdr:nvSpPr>
      <xdr:spPr bwMode="auto">
        <a:xfrm>
          <a:off x="13639800" y="8953500"/>
          <a:ext cx="514350" cy="114300"/>
        </a:xfrm>
        <a:prstGeom prst="ellipse">
          <a:avLst/>
        </a:prstGeom>
        <a:solidFill>
          <a:srgbClr val="FFFFFF"/>
        </a:solidFill>
        <a:ln w="9525">
          <a:solidFill>
            <a:srgbClr val="000000"/>
          </a:solidFill>
          <a:round/>
          <a:headEnd/>
          <a:tailEnd/>
        </a:ln>
      </xdr:spPr>
    </xdr:sp>
    <xdr:clientData/>
  </xdr:twoCellAnchor>
  <xdr:twoCellAnchor>
    <xdr:from>
      <xdr:col>4</xdr:col>
      <xdr:colOff>342900</xdr:colOff>
      <xdr:row>52</xdr:row>
      <xdr:rowOff>104775</xdr:rowOff>
    </xdr:from>
    <xdr:to>
      <xdr:col>5</xdr:col>
      <xdr:colOff>9525</xdr:colOff>
      <xdr:row>53</xdr:row>
      <xdr:rowOff>9525</xdr:rowOff>
    </xdr:to>
    <xdr:sp macro="" textlink="">
      <xdr:nvSpPr>
        <xdr:cNvPr id="15" name="Arc 14"/>
        <xdr:cNvSpPr>
          <a:spLocks/>
        </xdr:cNvSpPr>
      </xdr:nvSpPr>
      <xdr:spPr bwMode="auto">
        <a:xfrm>
          <a:off x="2857500" y="8524875"/>
          <a:ext cx="285750"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52</xdr:row>
      <xdr:rowOff>95250</xdr:rowOff>
    </xdr:from>
    <xdr:to>
      <xdr:col>4</xdr:col>
      <xdr:colOff>361950</xdr:colOff>
      <xdr:row>53</xdr:row>
      <xdr:rowOff>19050</xdr:rowOff>
    </xdr:to>
    <xdr:sp macro="" textlink="">
      <xdr:nvSpPr>
        <xdr:cNvPr id="16" name="Arc 15"/>
        <xdr:cNvSpPr>
          <a:spLocks/>
        </xdr:cNvSpPr>
      </xdr:nvSpPr>
      <xdr:spPr bwMode="auto">
        <a:xfrm flipH="1">
          <a:off x="2514600" y="8515350"/>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53</xdr:row>
      <xdr:rowOff>28575</xdr:rowOff>
    </xdr:from>
    <xdr:to>
      <xdr:col>4</xdr:col>
      <xdr:colOff>581025</xdr:colOff>
      <xdr:row>53</xdr:row>
      <xdr:rowOff>28575</xdr:rowOff>
    </xdr:to>
    <xdr:sp macro="" textlink="">
      <xdr:nvSpPr>
        <xdr:cNvPr id="17" name="Line 16"/>
        <xdr:cNvSpPr>
          <a:spLocks noChangeShapeType="1"/>
        </xdr:cNvSpPr>
      </xdr:nvSpPr>
      <xdr:spPr bwMode="auto">
        <a:xfrm>
          <a:off x="2514600" y="8610600"/>
          <a:ext cx="581025" cy="0"/>
        </a:xfrm>
        <a:prstGeom prst="line">
          <a:avLst/>
        </a:prstGeom>
        <a:noFill/>
        <a:ln w="9525">
          <a:solidFill>
            <a:srgbClr val="000000"/>
          </a:solidFill>
          <a:round/>
          <a:headEnd/>
          <a:tailEnd/>
        </a:ln>
      </xdr:spPr>
    </xdr:sp>
    <xdr:clientData/>
  </xdr:twoCellAnchor>
  <xdr:twoCellAnchor>
    <xdr:from>
      <xdr:col>3</xdr:col>
      <xdr:colOff>76200</xdr:colOff>
      <xdr:row>52</xdr:row>
      <xdr:rowOff>28575</xdr:rowOff>
    </xdr:from>
    <xdr:to>
      <xdr:col>3</xdr:col>
      <xdr:colOff>76200</xdr:colOff>
      <xdr:row>52</xdr:row>
      <xdr:rowOff>152400</xdr:rowOff>
    </xdr:to>
    <xdr:sp macro="" textlink="">
      <xdr:nvSpPr>
        <xdr:cNvPr id="18" name="Line 17"/>
        <xdr:cNvSpPr>
          <a:spLocks noChangeShapeType="1"/>
        </xdr:cNvSpPr>
      </xdr:nvSpPr>
      <xdr:spPr bwMode="auto">
        <a:xfrm>
          <a:off x="1971675" y="8448675"/>
          <a:ext cx="0" cy="123825"/>
        </a:xfrm>
        <a:prstGeom prst="line">
          <a:avLst/>
        </a:prstGeom>
        <a:noFill/>
        <a:ln w="9525">
          <a:solidFill>
            <a:srgbClr val="000000"/>
          </a:solidFill>
          <a:round/>
          <a:headEnd/>
          <a:tailEnd/>
        </a:ln>
      </xdr:spPr>
    </xdr:sp>
    <xdr:clientData/>
  </xdr:twoCellAnchor>
  <xdr:twoCellAnchor>
    <xdr:from>
      <xdr:col>3</xdr:col>
      <xdr:colOff>19050</xdr:colOff>
      <xdr:row>52</xdr:row>
      <xdr:rowOff>85725</xdr:rowOff>
    </xdr:from>
    <xdr:to>
      <xdr:col>3</xdr:col>
      <xdr:colOff>142875</xdr:colOff>
      <xdr:row>52</xdr:row>
      <xdr:rowOff>85725</xdr:rowOff>
    </xdr:to>
    <xdr:sp macro="" textlink="">
      <xdr:nvSpPr>
        <xdr:cNvPr id="19" name="Line 18"/>
        <xdr:cNvSpPr>
          <a:spLocks noChangeShapeType="1"/>
        </xdr:cNvSpPr>
      </xdr:nvSpPr>
      <xdr:spPr bwMode="auto">
        <a:xfrm>
          <a:off x="1914525" y="8505825"/>
          <a:ext cx="123825" cy="0"/>
        </a:xfrm>
        <a:prstGeom prst="line">
          <a:avLst/>
        </a:prstGeom>
        <a:noFill/>
        <a:ln w="9525">
          <a:solidFill>
            <a:srgbClr val="000000"/>
          </a:solidFill>
          <a:round/>
          <a:headEnd/>
          <a:tailEnd/>
        </a:ln>
      </xdr:spPr>
    </xdr:sp>
    <xdr:clientData/>
  </xdr:twoCellAnchor>
  <xdr:twoCellAnchor>
    <xdr:from>
      <xdr:col>3</xdr:col>
      <xdr:colOff>114300</xdr:colOff>
      <xdr:row>54</xdr:row>
      <xdr:rowOff>19050</xdr:rowOff>
    </xdr:from>
    <xdr:to>
      <xdr:col>3</xdr:col>
      <xdr:colOff>114300</xdr:colOff>
      <xdr:row>55</xdr:row>
      <xdr:rowOff>9525</xdr:rowOff>
    </xdr:to>
    <xdr:sp macro="" textlink="">
      <xdr:nvSpPr>
        <xdr:cNvPr id="20" name="Line 19"/>
        <xdr:cNvSpPr>
          <a:spLocks noChangeShapeType="1"/>
        </xdr:cNvSpPr>
      </xdr:nvSpPr>
      <xdr:spPr bwMode="auto">
        <a:xfrm>
          <a:off x="2009775" y="8763000"/>
          <a:ext cx="0" cy="152400"/>
        </a:xfrm>
        <a:prstGeom prst="line">
          <a:avLst/>
        </a:prstGeom>
        <a:noFill/>
        <a:ln w="9525">
          <a:solidFill>
            <a:srgbClr val="000000"/>
          </a:solidFill>
          <a:round/>
          <a:headEnd/>
          <a:tailEnd/>
        </a:ln>
      </xdr:spPr>
    </xdr:sp>
    <xdr:clientData/>
  </xdr:twoCellAnchor>
  <xdr:twoCellAnchor>
    <xdr:from>
      <xdr:col>3</xdr:col>
      <xdr:colOff>47625</xdr:colOff>
      <xdr:row>54</xdr:row>
      <xdr:rowOff>95250</xdr:rowOff>
    </xdr:from>
    <xdr:to>
      <xdr:col>3</xdr:col>
      <xdr:colOff>171450</xdr:colOff>
      <xdr:row>54</xdr:row>
      <xdr:rowOff>95250</xdr:rowOff>
    </xdr:to>
    <xdr:sp macro="" textlink="">
      <xdr:nvSpPr>
        <xdr:cNvPr id="21" name="Line 20"/>
        <xdr:cNvSpPr>
          <a:spLocks noChangeShapeType="1"/>
        </xdr:cNvSpPr>
      </xdr:nvSpPr>
      <xdr:spPr bwMode="auto">
        <a:xfrm>
          <a:off x="1943100" y="8839200"/>
          <a:ext cx="123825" cy="0"/>
        </a:xfrm>
        <a:prstGeom prst="line">
          <a:avLst/>
        </a:prstGeom>
        <a:noFill/>
        <a:ln w="9525">
          <a:solidFill>
            <a:srgbClr val="000000"/>
          </a:solidFill>
          <a:round/>
          <a:headEnd/>
          <a:tailEnd/>
        </a:ln>
      </xdr:spPr>
    </xdr:sp>
    <xdr:clientData/>
  </xdr:twoCellAnchor>
  <xdr:twoCellAnchor>
    <xdr:from>
      <xdr:col>3</xdr:col>
      <xdr:colOff>104775</xdr:colOff>
      <xdr:row>60</xdr:row>
      <xdr:rowOff>9525</xdr:rowOff>
    </xdr:from>
    <xdr:to>
      <xdr:col>3</xdr:col>
      <xdr:colOff>104775</xdr:colOff>
      <xdr:row>61</xdr:row>
      <xdr:rowOff>9525</xdr:rowOff>
    </xdr:to>
    <xdr:sp macro="" textlink="">
      <xdr:nvSpPr>
        <xdr:cNvPr id="22" name="Line 21"/>
        <xdr:cNvSpPr>
          <a:spLocks noChangeShapeType="1"/>
        </xdr:cNvSpPr>
      </xdr:nvSpPr>
      <xdr:spPr bwMode="auto">
        <a:xfrm>
          <a:off x="2000250" y="9725025"/>
          <a:ext cx="0" cy="161925"/>
        </a:xfrm>
        <a:prstGeom prst="line">
          <a:avLst/>
        </a:prstGeom>
        <a:noFill/>
        <a:ln w="9525">
          <a:solidFill>
            <a:srgbClr val="000000"/>
          </a:solidFill>
          <a:round/>
          <a:headEnd/>
          <a:tailEnd/>
        </a:ln>
      </xdr:spPr>
    </xdr:sp>
    <xdr:clientData/>
  </xdr:twoCellAnchor>
  <xdr:twoCellAnchor>
    <xdr:from>
      <xdr:col>3</xdr:col>
      <xdr:colOff>19050</xdr:colOff>
      <xdr:row>60</xdr:row>
      <xdr:rowOff>95250</xdr:rowOff>
    </xdr:from>
    <xdr:to>
      <xdr:col>3</xdr:col>
      <xdr:colOff>190500</xdr:colOff>
      <xdr:row>60</xdr:row>
      <xdr:rowOff>95250</xdr:rowOff>
    </xdr:to>
    <xdr:sp macro="" textlink="">
      <xdr:nvSpPr>
        <xdr:cNvPr id="23" name="Line 22"/>
        <xdr:cNvSpPr>
          <a:spLocks noChangeShapeType="1"/>
        </xdr:cNvSpPr>
      </xdr:nvSpPr>
      <xdr:spPr bwMode="auto">
        <a:xfrm>
          <a:off x="1914525" y="9810750"/>
          <a:ext cx="171450" cy="0"/>
        </a:xfrm>
        <a:prstGeom prst="line">
          <a:avLst/>
        </a:prstGeom>
        <a:noFill/>
        <a:ln w="9525">
          <a:solidFill>
            <a:srgbClr val="000000"/>
          </a:solidFill>
          <a:round/>
          <a:headEnd/>
          <a:tailEnd/>
        </a:ln>
      </xdr:spPr>
    </xdr:sp>
    <xdr:clientData/>
  </xdr:twoCellAnchor>
  <xdr:twoCellAnchor>
    <xdr:from>
      <xdr:col>29</xdr:col>
      <xdr:colOff>219075</xdr:colOff>
      <xdr:row>156</xdr:row>
      <xdr:rowOff>0</xdr:rowOff>
    </xdr:from>
    <xdr:to>
      <xdr:col>29</xdr:col>
      <xdr:colOff>323850</xdr:colOff>
      <xdr:row>156</xdr:row>
      <xdr:rowOff>0</xdr:rowOff>
    </xdr:to>
    <xdr:sp macro="" textlink="">
      <xdr:nvSpPr>
        <xdr:cNvPr id="24" name="Line 23"/>
        <xdr:cNvSpPr>
          <a:spLocks noChangeShapeType="1"/>
        </xdr:cNvSpPr>
      </xdr:nvSpPr>
      <xdr:spPr bwMode="auto">
        <a:xfrm>
          <a:off x="17726025" y="26069925"/>
          <a:ext cx="104775" cy="0"/>
        </a:xfrm>
        <a:prstGeom prst="line">
          <a:avLst/>
        </a:prstGeom>
        <a:noFill/>
        <a:ln w="9525">
          <a:solidFill>
            <a:srgbClr val="000000"/>
          </a:solidFill>
          <a:round/>
          <a:headEnd/>
          <a:tailEnd/>
        </a:ln>
      </xdr:spPr>
    </xdr:sp>
    <xdr:clientData/>
  </xdr:twoCellAnchor>
  <xdr:twoCellAnchor>
    <xdr:from>
      <xdr:col>2</xdr:col>
      <xdr:colOff>219075</xdr:colOff>
      <xdr:row>171</xdr:row>
      <xdr:rowOff>0</xdr:rowOff>
    </xdr:from>
    <xdr:to>
      <xdr:col>2</xdr:col>
      <xdr:colOff>323850</xdr:colOff>
      <xdr:row>171</xdr:row>
      <xdr:rowOff>0</xdr:rowOff>
    </xdr:to>
    <xdr:sp macro="" textlink="">
      <xdr:nvSpPr>
        <xdr:cNvPr id="25" name="Line 24"/>
        <xdr:cNvSpPr>
          <a:spLocks noChangeShapeType="1"/>
        </xdr:cNvSpPr>
      </xdr:nvSpPr>
      <xdr:spPr bwMode="auto">
        <a:xfrm>
          <a:off x="1495425" y="28536900"/>
          <a:ext cx="104775" cy="0"/>
        </a:xfrm>
        <a:prstGeom prst="line">
          <a:avLst/>
        </a:prstGeom>
        <a:noFill/>
        <a:ln w="9525">
          <a:solidFill>
            <a:srgbClr val="000000"/>
          </a:solidFill>
          <a:round/>
          <a:headEnd/>
          <a:tailEnd/>
        </a:ln>
      </xdr:spPr>
    </xdr:sp>
    <xdr:clientData/>
  </xdr:twoCellAnchor>
  <xdr:twoCellAnchor>
    <xdr:from>
      <xdr:col>4</xdr:col>
      <xdr:colOff>323850</xdr:colOff>
      <xdr:row>6</xdr:row>
      <xdr:rowOff>114300</xdr:rowOff>
    </xdr:from>
    <xdr:to>
      <xdr:col>7</xdr:col>
      <xdr:colOff>9525</xdr:colOff>
      <xdr:row>16</xdr:row>
      <xdr:rowOff>9525</xdr:rowOff>
    </xdr:to>
    <xdr:sp macro="" textlink="">
      <xdr:nvSpPr>
        <xdr:cNvPr id="26" name="Oval 25"/>
        <xdr:cNvSpPr>
          <a:spLocks noChangeArrowheads="1"/>
        </xdr:cNvSpPr>
      </xdr:nvSpPr>
      <xdr:spPr bwMode="auto">
        <a:xfrm>
          <a:off x="2838450" y="1085850"/>
          <a:ext cx="1466850" cy="1514475"/>
        </a:xfrm>
        <a:prstGeom prst="ellipse">
          <a:avLst/>
        </a:prstGeom>
        <a:solidFill>
          <a:srgbClr val="FFFFFF"/>
        </a:solidFill>
        <a:ln w="9525">
          <a:solidFill>
            <a:srgbClr val="000000"/>
          </a:solidFill>
          <a:round/>
          <a:headEnd/>
          <a:tailEnd/>
        </a:ln>
      </xdr:spPr>
    </xdr:sp>
    <xdr:clientData/>
  </xdr:twoCellAnchor>
  <xdr:twoCellAnchor>
    <xdr:from>
      <xdr:col>5</xdr:col>
      <xdr:colOff>238125</xdr:colOff>
      <xdr:row>7</xdr:row>
      <xdr:rowOff>0</xdr:rowOff>
    </xdr:from>
    <xdr:to>
      <xdr:col>5</xdr:col>
      <xdr:colOff>238125</xdr:colOff>
      <xdr:row>16</xdr:row>
      <xdr:rowOff>0</xdr:rowOff>
    </xdr:to>
    <xdr:sp macro="" textlink="">
      <xdr:nvSpPr>
        <xdr:cNvPr id="27" name="Line 26"/>
        <xdr:cNvSpPr>
          <a:spLocks noChangeShapeType="1"/>
        </xdr:cNvSpPr>
      </xdr:nvSpPr>
      <xdr:spPr bwMode="auto">
        <a:xfrm>
          <a:off x="3371850" y="1133475"/>
          <a:ext cx="0" cy="1457325"/>
        </a:xfrm>
        <a:prstGeom prst="line">
          <a:avLst/>
        </a:prstGeom>
        <a:noFill/>
        <a:ln w="9525">
          <a:solidFill>
            <a:srgbClr val="000000"/>
          </a:solidFill>
          <a:round/>
          <a:headEnd/>
          <a:tailEnd/>
        </a:ln>
      </xdr:spPr>
    </xdr:sp>
    <xdr:clientData/>
  </xdr:twoCellAnchor>
  <xdr:twoCellAnchor>
    <xdr:from>
      <xdr:col>6</xdr:col>
      <xdr:colOff>104775</xdr:colOff>
      <xdr:row>6</xdr:row>
      <xdr:rowOff>152400</xdr:rowOff>
    </xdr:from>
    <xdr:to>
      <xdr:col>6</xdr:col>
      <xdr:colOff>104775</xdr:colOff>
      <xdr:row>15</xdr:row>
      <xdr:rowOff>142875</xdr:rowOff>
    </xdr:to>
    <xdr:sp macro="" textlink="">
      <xdr:nvSpPr>
        <xdr:cNvPr id="28" name="Line 27"/>
        <xdr:cNvSpPr>
          <a:spLocks noChangeShapeType="1"/>
        </xdr:cNvSpPr>
      </xdr:nvSpPr>
      <xdr:spPr bwMode="auto">
        <a:xfrm>
          <a:off x="3781425" y="1123950"/>
          <a:ext cx="0" cy="1447800"/>
        </a:xfrm>
        <a:prstGeom prst="line">
          <a:avLst/>
        </a:prstGeom>
        <a:noFill/>
        <a:ln w="9525">
          <a:solidFill>
            <a:srgbClr val="000000"/>
          </a:solidFill>
          <a:round/>
          <a:headEnd/>
          <a:tailEnd/>
        </a:ln>
      </xdr:spPr>
    </xdr:sp>
    <xdr:clientData/>
  </xdr:twoCellAnchor>
  <xdr:twoCellAnchor>
    <xdr:from>
      <xdr:col>5</xdr:col>
      <xdr:colOff>247650</xdr:colOff>
      <xdr:row>7</xdr:row>
      <xdr:rowOff>66675</xdr:rowOff>
    </xdr:from>
    <xdr:to>
      <xdr:col>6</xdr:col>
      <xdr:colOff>114300</xdr:colOff>
      <xdr:row>7</xdr:row>
      <xdr:rowOff>142875</xdr:rowOff>
    </xdr:to>
    <xdr:sp macro="" textlink="">
      <xdr:nvSpPr>
        <xdr:cNvPr id="29" name="Rectangle 28"/>
        <xdr:cNvSpPr>
          <a:spLocks noChangeArrowheads="1"/>
        </xdr:cNvSpPr>
      </xdr:nvSpPr>
      <xdr:spPr bwMode="auto">
        <a:xfrm>
          <a:off x="3381375" y="1200150"/>
          <a:ext cx="409575" cy="76200"/>
        </a:xfrm>
        <a:prstGeom prst="rect">
          <a:avLst/>
        </a:prstGeom>
        <a:solidFill>
          <a:srgbClr val="FFFFFF"/>
        </a:solidFill>
        <a:ln w="9525">
          <a:solidFill>
            <a:srgbClr val="000000"/>
          </a:solidFill>
          <a:miter lim="800000"/>
          <a:headEnd/>
          <a:tailEnd/>
        </a:ln>
      </xdr:spPr>
    </xdr:sp>
    <xdr:clientData/>
  </xdr:twoCellAnchor>
  <xdr:twoCellAnchor>
    <xdr:from>
      <xdr:col>5</xdr:col>
      <xdr:colOff>228600</xdr:colOff>
      <xdr:row>15</xdr:row>
      <xdr:rowOff>0</xdr:rowOff>
    </xdr:from>
    <xdr:to>
      <xdr:col>6</xdr:col>
      <xdr:colOff>104775</xdr:colOff>
      <xdr:row>15</xdr:row>
      <xdr:rowOff>76200</xdr:rowOff>
    </xdr:to>
    <xdr:sp macro="" textlink="">
      <xdr:nvSpPr>
        <xdr:cNvPr id="30" name="Rectangle 29"/>
        <xdr:cNvSpPr>
          <a:spLocks noChangeArrowheads="1"/>
        </xdr:cNvSpPr>
      </xdr:nvSpPr>
      <xdr:spPr bwMode="auto">
        <a:xfrm>
          <a:off x="3362325" y="2428875"/>
          <a:ext cx="419100" cy="76200"/>
        </a:xfrm>
        <a:prstGeom prst="rect">
          <a:avLst/>
        </a:prstGeom>
        <a:solidFill>
          <a:srgbClr val="FFFFFF"/>
        </a:solidFill>
        <a:ln w="9525">
          <a:solidFill>
            <a:srgbClr val="000000"/>
          </a:solidFill>
          <a:miter lim="800000"/>
          <a:headEnd/>
          <a:tailEnd/>
        </a:ln>
      </xdr:spPr>
    </xdr:sp>
    <xdr:clientData/>
  </xdr:twoCellAnchor>
  <xdr:twoCellAnchor>
    <xdr:from>
      <xdr:col>5</xdr:col>
      <xdr:colOff>523875</xdr:colOff>
      <xdr:row>16</xdr:row>
      <xdr:rowOff>104775</xdr:rowOff>
    </xdr:from>
    <xdr:to>
      <xdr:col>6</xdr:col>
      <xdr:colOff>600075</xdr:colOff>
      <xdr:row>16</xdr:row>
      <xdr:rowOff>104775</xdr:rowOff>
    </xdr:to>
    <xdr:sp macro="" textlink="">
      <xdr:nvSpPr>
        <xdr:cNvPr id="31" name="Line 30"/>
        <xdr:cNvSpPr>
          <a:spLocks noChangeShapeType="1"/>
        </xdr:cNvSpPr>
      </xdr:nvSpPr>
      <xdr:spPr bwMode="auto">
        <a:xfrm>
          <a:off x="3657600" y="2695575"/>
          <a:ext cx="619125" cy="0"/>
        </a:xfrm>
        <a:prstGeom prst="line">
          <a:avLst/>
        </a:prstGeom>
        <a:noFill/>
        <a:ln w="9525">
          <a:solidFill>
            <a:srgbClr val="000000"/>
          </a:solidFill>
          <a:round/>
          <a:headEnd/>
          <a:tailEnd type="triangle" w="med" len="med"/>
        </a:ln>
      </xdr:spPr>
    </xdr:sp>
    <xdr:clientData/>
  </xdr:twoCellAnchor>
  <xdr:twoCellAnchor>
    <xdr:from>
      <xdr:col>4</xdr:col>
      <xdr:colOff>342900</xdr:colOff>
      <xdr:row>16</xdr:row>
      <xdr:rowOff>104775</xdr:rowOff>
    </xdr:from>
    <xdr:to>
      <xdr:col>5</xdr:col>
      <xdr:colOff>104775</xdr:colOff>
      <xdr:row>16</xdr:row>
      <xdr:rowOff>104775</xdr:rowOff>
    </xdr:to>
    <xdr:sp macro="" textlink="">
      <xdr:nvSpPr>
        <xdr:cNvPr id="32" name="Line 31"/>
        <xdr:cNvSpPr>
          <a:spLocks noChangeShapeType="1"/>
        </xdr:cNvSpPr>
      </xdr:nvSpPr>
      <xdr:spPr bwMode="auto">
        <a:xfrm flipH="1">
          <a:off x="2857500" y="2695575"/>
          <a:ext cx="381000" cy="0"/>
        </a:xfrm>
        <a:prstGeom prst="line">
          <a:avLst/>
        </a:prstGeom>
        <a:noFill/>
        <a:ln w="9525">
          <a:solidFill>
            <a:srgbClr val="000000"/>
          </a:solidFill>
          <a:round/>
          <a:headEnd/>
          <a:tailEnd type="triangle" w="med" len="med"/>
        </a:ln>
      </xdr:spPr>
    </xdr:sp>
    <xdr:clientData/>
  </xdr:twoCellAnchor>
  <xdr:twoCellAnchor>
    <xdr:from>
      <xdr:col>4</xdr:col>
      <xdr:colOff>342900</xdr:colOff>
      <xdr:row>16</xdr:row>
      <xdr:rowOff>47625</xdr:rowOff>
    </xdr:from>
    <xdr:to>
      <xdr:col>4</xdr:col>
      <xdr:colOff>342900</xdr:colOff>
      <xdr:row>17</xdr:row>
      <xdr:rowOff>104775</xdr:rowOff>
    </xdr:to>
    <xdr:sp macro="" textlink="">
      <xdr:nvSpPr>
        <xdr:cNvPr id="33" name="Line 32"/>
        <xdr:cNvSpPr>
          <a:spLocks noChangeShapeType="1"/>
        </xdr:cNvSpPr>
      </xdr:nvSpPr>
      <xdr:spPr bwMode="auto">
        <a:xfrm>
          <a:off x="2857500" y="2638425"/>
          <a:ext cx="0" cy="219075"/>
        </a:xfrm>
        <a:prstGeom prst="line">
          <a:avLst/>
        </a:prstGeom>
        <a:noFill/>
        <a:ln w="9525">
          <a:solidFill>
            <a:srgbClr val="000000"/>
          </a:solidFill>
          <a:round/>
          <a:headEnd/>
          <a:tailEnd/>
        </a:ln>
      </xdr:spPr>
    </xdr:sp>
    <xdr:clientData/>
  </xdr:twoCellAnchor>
  <xdr:twoCellAnchor>
    <xdr:from>
      <xdr:col>6</xdr:col>
      <xdr:colOff>371475</xdr:colOff>
      <xdr:row>11</xdr:row>
      <xdr:rowOff>76200</xdr:rowOff>
    </xdr:from>
    <xdr:to>
      <xdr:col>7</xdr:col>
      <xdr:colOff>19050</xdr:colOff>
      <xdr:row>11</xdr:row>
      <xdr:rowOff>76200</xdr:rowOff>
    </xdr:to>
    <xdr:sp macro="" textlink="">
      <xdr:nvSpPr>
        <xdr:cNvPr id="34" name="Line 33"/>
        <xdr:cNvSpPr>
          <a:spLocks noChangeShapeType="1"/>
        </xdr:cNvSpPr>
      </xdr:nvSpPr>
      <xdr:spPr bwMode="auto">
        <a:xfrm>
          <a:off x="4048125" y="1857375"/>
          <a:ext cx="266700" cy="0"/>
        </a:xfrm>
        <a:prstGeom prst="line">
          <a:avLst/>
        </a:prstGeom>
        <a:noFill/>
        <a:ln w="9525">
          <a:solidFill>
            <a:srgbClr val="000000"/>
          </a:solidFill>
          <a:round/>
          <a:headEnd/>
          <a:tailEnd type="triangle" w="med" len="med"/>
        </a:ln>
      </xdr:spPr>
    </xdr:sp>
    <xdr:clientData/>
  </xdr:twoCellAnchor>
  <xdr:twoCellAnchor>
    <xdr:from>
      <xdr:col>6</xdr:col>
      <xdr:colOff>114300</xdr:colOff>
      <xdr:row>11</xdr:row>
      <xdr:rowOff>66675</xdr:rowOff>
    </xdr:from>
    <xdr:to>
      <xdr:col>6</xdr:col>
      <xdr:colOff>219075</xdr:colOff>
      <xdr:row>11</xdr:row>
      <xdr:rowOff>66675</xdr:rowOff>
    </xdr:to>
    <xdr:sp macro="" textlink="">
      <xdr:nvSpPr>
        <xdr:cNvPr id="35" name="Line 34"/>
        <xdr:cNvSpPr>
          <a:spLocks noChangeShapeType="1"/>
        </xdr:cNvSpPr>
      </xdr:nvSpPr>
      <xdr:spPr bwMode="auto">
        <a:xfrm flipH="1">
          <a:off x="3790950" y="1847850"/>
          <a:ext cx="104775" cy="0"/>
        </a:xfrm>
        <a:prstGeom prst="line">
          <a:avLst/>
        </a:prstGeom>
        <a:noFill/>
        <a:ln w="9525">
          <a:solidFill>
            <a:srgbClr val="000000"/>
          </a:solidFill>
          <a:round/>
          <a:headEnd/>
          <a:tailEnd type="triangle" w="med" len="med"/>
        </a:ln>
      </xdr:spPr>
    </xdr:sp>
    <xdr:clientData/>
  </xdr:twoCellAnchor>
</xdr:wsDr>
</file>

<file path=xl/drawings/drawing18.xml><?xml version="1.0" encoding="utf-8"?>
<xdr:wsDr xmlns:xdr="http://schemas.openxmlformats.org/drawingml/2006/spreadsheetDrawing" xmlns:a="http://schemas.openxmlformats.org/drawingml/2006/main">
  <xdr:twoCellAnchor>
    <xdr:from>
      <xdr:col>42</xdr:col>
      <xdr:colOff>190500</xdr:colOff>
      <xdr:row>145</xdr:row>
      <xdr:rowOff>133350</xdr:rowOff>
    </xdr:from>
    <xdr:to>
      <xdr:col>42</xdr:col>
      <xdr:colOff>295275</xdr:colOff>
      <xdr:row>145</xdr:row>
      <xdr:rowOff>133350</xdr:rowOff>
    </xdr:to>
    <xdr:sp macro="" textlink="">
      <xdr:nvSpPr>
        <xdr:cNvPr id="2" name="Line 1"/>
        <xdr:cNvSpPr>
          <a:spLocks noChangeShapeType="1"/>
        </xdr:cNvSpPr>
      </xdr:nvSpPr>
      <xdr:spPr bwMode="auto">
        <a:xfrm>
          <a:off x="26508075" y="29460825"/>
          <a:ext cx="104775" cy="0"/>
        </a:xfrm>
        <a:prstGeom prst="line">
          <a:avLst/>
        </a:prstGeom>
        <a:noFill/>
        <a:ln w="9525">
          <a:solidFill>
            <a:srgbClr val="000000"/>
          </a:solidFill>
          <a:round/>
          <a:headEnd/>
          <a:tailEnd/>
        </a:ln>
      </xdr:spPr>
    </xdr:sp>
    <xdr:clientData/>
  </xdr:twoCellAnchor>
  <xdr:twoCellAnchor>
    <xdr:from>
      <xdr:col>53</xdr:col>
      <xdr:colOff>190500</xdr:colOff>
      <xdr:row>156</xdr:row>
      <xdr:rowOff>123825</xdr:rowOff>
    </xdr:from>
    <xdr:to>
      <xdr:col>53</xdr:col>
      <xdr:colOff>295275</xdr:colOff>
      <xdr:row>156</xdr:row>
      <xdr:rowOff>123825</xdr:rowOff>
    </xdr:to>
    <xdr:sp macro="" textlink="">
      <xdr:nvSpPr>
        <xdr:cNvPr id="3" name="Line 2"/>
        <xdr:cNvSpPr>
          <a:spLocks noChangeShapeType="1"/>
        </xdr:cNvSpPr>
      </xdr:nvSpPr>
      <xdr:spPr bwMode="auto">
        <a:xfrm>
          <a:off x="33213675" y="32756475"/>
          <a:ext cx="104775" cy="0"/>
        </a:xfrm>
        <a:prstGeom prst="line">
          <a:avLst/>
        </a:prstGeom>
        <a:noFill/>
        <a:ln w="9525">
          <a:solidFill>
            <a:srgbClr val="000000"/>
          </a:solidFill>
          <a:round/>
          <a:headEnd/>
          <a:tailEnd/>
        </a:ln>
      </xdr:spPr>
    </xdr:sp>
    <xdr:clientData/>
  </xdr:twoCellAnchor>
  <xdr:twoCellAnchor>
    <xdr:from>
      <xdr:col>65</xdr:col>
      <xdr:colOff>161925</xdr:colOff>
      <xdr:row>170</xdr:row>
      <xdr:rowOff>152400</xdr:rowOff>
    </xdr:from>
    <xdr:to>
      <xdr:col>65</xdr:col>
      <xdr:colOff>285750</xdr:colOff>
      <xdr:row>171</xdr:row>
      <xdr:rowOff>9525</xdr:rowOff>
    </xdr:to>
    <xdr:sp macro="" textlink="">
      <xdr:nvSpPr>
        <xdr:cNvPr id="4" name="Line 3"/>
        <xdr:cNvSpPr>
          <a:spLocks noChangeShapeType="1"/>
        </xdr:cNvSpPr>
      </xdr:nvSpPr>
      <xdr:spPr bwMode="auto">
        <a:xfrm flipV="1">
          <a:off x="40500300" y="36118800"/>
          <a:ext cx="123825" cy="19050"/>
        </a:xfrm>
        <a:prstGeom prst="line">
          <a:avLst/>
        </a:prstGeom>
        <a:noFill/>
        <a:ln w="9525">
          <a:solidFill>
            <a:srgbClr val="000000"/>
          </a:solidFill>
          <a:round/>
          <a:headEnd/>
          <a:tailEnd/>
        </a:ln>
      </xdr:spPr>
    </xdr:sp>
    <xdr:clientData/>
  </xdr:twoCellAnchor>
  <xdr:twoCellAnchor>
    <xdr:from>
      <xdr:col>3</xdr:col>
      <xdr:colOff>514350</xdr:colOff>
      <xdr:row>174</xdr:row>
      <xdr:rowOff>47625</xdr:rowOff>
    </xdr:from>
    <xdr:to>
      <xdr:col>3</xdr:col>
      <xdr:colOff>600075</xdr:colOff>
      <xdr:row>174</xdr:row>
      <xdr:rowOff>47625</xdr:rowOff>
    </xdr:to>
    <xdr:sp macro="" textlink="">
      <xdr:nvSpPr>
        <xdr:cNvPr id="5" name="Line 4"/>
        <xdr:cNvSpPr>
          <a:spLocks noChangeShapeType="1"/>
        </xdr:cNvSpPr>
      </xdr:nvSpPr>
      <xdr:spPr bwMode="auto">
        <a:xfrm>
          <a:off x="2552700" y="36661725"/>
          <a:ext cx="85725" cy="0"/>
        </a:xfrm>
        <a:prstGeom prst="line">
          <a:avLst/>
        </a:prstGeom>
        <a:noFill/>
        <a:ln w="9525">
          <a:solidFill>
            <a:srgbClr val="000000"/>
          </a:solidFill>
          <a:round/>
          <a:headEnd/>
          <a:tailEnd/>
        </a:ln>
      </xdr:spPr>
    </xdr:sp>
    <xdr:clientData/>
  </xdr:twoCellAnchor>
  <xdr:twoCellAnchor>
    <xdr:from>
      <xdr:col>4</xdr:col>
      <xdr:colOff>0</xdr:colOff>
      <xdr:row>22</xdr:row>
      <xdr:rowOff>19050</xdr:rowOff>
    </xdr:from>
    <xdr:to>
      <xdr:col>5</xdr:col>
      <xdr:colOff>9525</xdr:colOff>
      <xdr:row>24</xdr:row>
      <xdr:rowOff>9525</xdr:rowOff>
    </xdr:to>
    <xdr:sp macro="" textlink="">
      <xdr:nvSpPr>
        <xdr:cNvPr id="6" name="Rectangle 5"/>
        <xdr:cNvSpPr>
          <a:spLocks noChangeArrowheads="1"/>
        </xdr:cNvSpPr>
      </xdr:nvSpPr>
      <xdr:spPr bwMode="auto">
        <a:xfrm>
          <a:off x="2647950" y="3581400"/>
          <a:ext cx="666750" cy="314325"/>
        </a:xfrm>
        <a:prstGeom prst="rect">
          <a:avLst/>
        </a:prstGeom>
        <a:noFill/>
        <a:ln w="9525">
          <a:solidFill>
            <a:srgbClr val="000000"/>
          </a:solidFill>
          <a:miter lim="800000"/>
          <a:headEnd/>
          <a:tailEnd/>
        </a:ln>
      </xdr:spPr>
    </xdr:sp>
    <xdr:clientData/>
  </xdr:twoCellAnchor>
  <xdr:twoCellAnchor>
    <xdr:from>
      <xdr:col>4</xdr:col>
      <xdr:colOff>190500</xdr:colOff>
      <xdr:row>24</xdr:row>
      <xdr:rowOff>9525</xdr:rowOff>
    </xdr:from>
    <xdr:to>
      <xdr:col>4</xdr:col>
      <xdr:colOff>190500</xdr:colOff>
      <xdr:row>30</xdr:row>
      <xdr:rowOff>57150</xdr:rowOff>
    </xdr:to>
    <xdr:sp macro="" textlink="">
      <xdr:nvSpPr>
        <xdr:cNvPr id="7" name="Line 6"/>
        <xdr:cNvSpPr>
          <a:spLocks noChangeShapeType="1"/>
        </xdr:cNvSpPr>
      </xdr:nvSpPr>
      <xdr:spPr bwMode="auto">
        <a:xfrm>
          <a:off x="2838450" y="3895725"/>
          <a:ext cx="0" cy="1019175"/>
        </a:xfrm>
        <a:prstGeom prst="line">
          <a:avLst/>
        </a:prstGeom>
        <a:noFill/>
        <a:ln w="9525">
          <a:solidFill>
            <a:srgbClr val="000000"/>
          </a:solidFill>
          <a:round/>
          <a:headEnd/>
          <a:tailEnd/>
        </a:ln>
      </xdr:spPr>
    </xdr:sp>
    <xdr:clientData/>
  </xdr:twoCellAnchor>
  <xdr:twoCellAnchor>
    <xdr:from>
      <xdr:col>4</xdr:col>
      <xdr:colOff>428625</xdr:colOff>
      <xdr:row>24</xdr:row>
      <xdr:rowOff>19050</xdr:rowOff>
    </xdr:from>
    <xdr:to>
      <xdr:col>4</xdr:col>
      <xdr:colOff>428625</xdr:colOff>
      <xdr:row>30</xdr:row>
      <xdr:rowOff>47625</xdr:rowOff>
    </xdr:to>
    <xdr:sp macro="" textlink="">
      <xdr:nvSpPr>
        <xdr:cNvPr id="8" name="Line 7"/>
        <xdr:cNvSpPr>
          <a:spLocks noChangeShapeType="1"/>
        </xdr:cNvSpPr>
      </xdr:nvSpPr>
      <xdr:spPr bwMode="auto">
        <a:xfrm>
          <a:off x="3076575" y="3905250"/>
          <a:ext cx="0" cy="1000125"/>
        </a:xfrm>
        <a:prstGeom prst="line">
          <a:avLst/>
        </a:prstGeom>
        <a:noFill/>
        <a:ln w="9525">
          <a:solidFill>
            <a:srgbClr val="000000"/>
          </a:solidFill>
          <a:round/>
          <a:headEnd/>
          <a:tailEnd/>
        </a:ln>
      </xdr:spPr>
    </xdr:sp>
    <xdr:clientData/>
  </xdr:twoCellAnchor>
  <xdr:twoCellAnchor>
    <xdr:from>
      <xdr:col>4</xdr:col>
      <xdr:colOff>28575</xdr:colOff>
      <xdr:row>30</xdr:row>
      <xdr:rowOff>66675</xdr:rowOff>
    </xdr:from>
    <xdr:to>
      <xdr:col>4</xdr:col>
      <xdr:colOff>590550</xdr:colOff>
      <xdr:row>30</xdr:row>
      <xdr:rowOff>66675</xdr:rowOff>
    </xdr:to>
    <xdr:sp macro="" textlink="">
      <xdr:nvSpPr>
        <xdr:cNvPr id="9" name="Line 8"/>
        <xdr:cNvSpPr>
          <a:spLocks noChangeShapeType="1"/>
        </xdr:cNvSpPr>
      </xdr:nvSpPr>
      <xdr:spPr bwMode="auto">
        <a:xfrm>
          <a:off x="2676525" y="4924425"/>
          <a:ext cx="561975" cy="0"/>
        </a:xfrm>
        <a:prstGeom prst="line">
          <a:avLst/>
        </a:prstGeom>
        <a:noFill/>
        <a:ln w="9525">
          <a:solidFill>
            <a:srgbClr val="000000"/>
          </a:solidFill>
          <a:round/>
          <a:headEnd/>
          <a:tailEnd/>
        </a:ln>
      </xdr:spPr>
    </xdr:sp>
    <xdr:clientData/>
  </xdr:twoCellAnchor>
  <xdr:twoCellAnchor>
    <xdr:from>
      <xdr:col>20</xdr:col>
      <xdr:colOff>400050</xdr:colOff>
      <xdr:row>24</xdr:row>
      <xdr:rowOff>47625</xdr:rowOff>
    </xdr:from>
    <xdr:to>
      <xdr:col>21</xdr:col>
      <xdr:colOff>304800</xdr:colOff>
      <xdr:row>25</xdr:row>
      <xdr:rowOff>0</xdr:rowOff>
    </xdr:to>
    <xdr:sp macro="" textlink="">
      <xdr:nvSpPr>
        <xdr:cNvPr id="10" name="Oval 9"/>
        <xdr:cNvSpPr>
          <a:spLocks noChangeArrowheads="1"/>
        </xdr:cNvSpPr>
      </xdr:nvSpPr>
      <xdr:spPr bwMode="auto">
        <a:xfrm>
          <a:off x="13306425" y="3933825"/>
          <a:ext cx="514350" cy="114300"/>
        </a:xfrm>
        <a:prstGeom prst="ellipse">
          <a:avLst/>
        </a:prstGeom>
        <a:solidFill>
          <a:srgbClr val="FFFFFF"/>
        </a:solidFill>
        <a:ln w="9525">
          <a:solidFill>
            <a:srgbClr val="000000"/>
          </a:solidFill>
          <a:round/>
          <a:headEnd/>
          <a:tailEnd/>
        </a:ln>
      </xdr:spPr>
    </xdr:sp>
    <xdr:clientData/>
  </xdr:twoCellAnchor>
  <xdr:twoCellAnchor>
    <xdr:from>
      <xdr:col>4</xdr:col>
      <xdr:colOff>342900</xdr:colOff>
      <xdr:row>21</xdr:row>
      <xdr:rowOff>104775</xdr:rowOff>
    </xdr:from>
    <xdr:to>
      <xdr:col>5</xdr:col>
      <xdr:colOff>9525</xdr:colOff>
      <xdr:row>22</xdr:row>
      <xdr:rowOff>9525</xdr:rowOff>
    </xdr:to>
    <xdr:sp macro="" textlink="">
      <xdr:nvSpPr>
        <xdr:cNvPr id="11" name="Arc 10"/>
        <xdr:cNvSpPr>
          <a:spLocks/>
        </xdr:cNvSpPr>
      </xdr:nvSpPr>
      <xdr:spPr bwMode="auto">
        <a:xfrm>
          <a:off x="2990850" y="3505200"/>
          <a:ext cx="323850"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21</xdr:row>
      <xdr:rowOff>95250</xdr:rowOff>
    </xdr:from>
    <xdr:to>
      <xdr:col>4</xdr:col>
      <xdr:colOff>361950</xdr:colOff>
      <xdr:row>22</xdr:row>
      <xdr:rowOff>19050</xdr:rowOff>
    </xdr:to>
    <xdr:sp macro="" textlink="">
      <xdr:nvSpPr>
        <xdr:cNvPr id="12" name="Arc 11"/>
        <xdr:cNvSpPr>
          <a:spLocks/>
        </xdr:cNvSpPr>
      </xdr:nvSpPr>
      <xdr:spPr bwMode="auto">
        <a:xfrm flipH="1">
          <a:off x="2647950" y="34956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28575</xdr:rowOff>
    </xdr:from>
    <xdr:to>
      <xdr:col>4</xdr:col>
      <xdr:colOff>581025</xdr:colOff>
      <xdr:row>22</xdr:row>
      <xdr:rowOff>28575</xdr:rowOff>
    </xdr:to>
    <xdr:sp macro="" textlink="">
      <xdr:nvSpPr>
        <xdr:cNvPr id="13" name="Line 12"/>
        <xdr:cNvSpPr>
          <a:spLocks noChangeShapeType="1"/>
        </xdr:cNvSpPr>
      </xdr:nvSpPr>
      <xdr:spPr bwMode="auto">
        <a:xfrm>
          <a:off x="2647950" y="3590925"/>
          <a:ext cx="581025" cy="0"/>
        </a:xfrm>
        <a:prstGeom prst="line">
          <a:avLst/>
        </a:prstGeom>
        <a:noFill/>
        <a:ln w="9525">
          <a:solidFill>
            <a:srgbClr val="000000"/>
          </a:solidFill>
          <a:round/>
          <a:headEnd/>
          <a:tailEnd/>
        </a:ln>
      </xdr:spPr>
    </xdr:sp>
    <xdr:clientData/>
  </xdr:twoCellAnchor>
  <xdr:twoCellAnchor>
    <xdr:from>
      <xdr:col>3</xdr:col>
      <xdr:colOff>76200</xdr:colOff>
      <xdr:row>21</xdr:row>
      <xdr:rowOff>28575</xdr:rowOff>
    </xdr:from>
    <xdr:to>
      <xdr:col>3</xdr:col>
      <xdr:colOff>76200</xdr:colOff>
      <xdr:row>21</xdr:row>
      <xdr:rowOff>152400</xdr:rowOff>
    </xdr:to>
    <xdr:sp macro="" textlink="">
      <xdr:nvSpPr>
        <xdr:cNvPr id="14" name="Line 13"/>
        <xdr:cNvSpPr>
          <a:spLocks noChangeShapeType="1"/>
        </xdr:cNvSpPr>
      </xdr:nvSpPr>
      <xdr:spPr bwMode="auto">
        <a:xfrm>
          <a:off x="2114550" y="3429000"/>
          <a:ext cx="0" cy="123825"/>
        </a:xfrm>
        <a:prstGeom prst="line">
          <a:avLst/>
        </a:prstGeom>
        <a:noFill/>
        <a:ln w="9525">
          <a:solidFill>
            <a:srgbClr val="000000"/>
          </a:solidFill>
          <a:round/>
          <a:headEnd/>
          <a:tailEnd/>
        </a:ln>
      </xdr:spPr>
    </xdr:sp>
    <xdr:clientData/>
  </xdr:twoCellAnchor>
  <xdr:twoCellAnchor>
    <xdr:from>
      <xdr:col>3</xdr:col>
      <xdr:colOff>19050</xdr:colOff>
      <xdr:row>21</xdr:row>
      <xdr:rowOff>85725</xdr:rowOff>
    </xdr:from>
    <xdr:to>
      <xdr:col>3</xdr:col>
      <xdr:colOff>142875</xdr:colOff>
      <xdr:row>21</xdr:row>
      <xdr:rowOff>85725</xdr:rowOff>
    </xdr:to>
    <xdr:sp macro="" textlink="">
      <xdr:nvSpPr>
        <xdr:cNvPr id="15" name="Line 14"/>
        <xdr:cNvSpPr>
          <a:spLocks noChangeShapeType="1"/>
        </xdr:cNvSpPr>
      </xdr:nvSpPr>
      <xdr:spPr bwMode="auto">
        <a:xfrm>
          <a:off x="2057400" y="3486150"/>
          <a:ext cx="123825" cy="0"/>
        </a:xfrm>
        <a:prstGeom prst="line">
          <a:avLst/>
        </a:prstGeom>
        <a:noFill/>
        <a:ln w="9525">
          <a:solidFill>
            <a:srgbClr val="000000"/>
          </a:solidFill>
          <a:round/>
          <a:headEnd/>
          <a:tailEnd/>
        </a:ln>
      </xdr:spPr>
    </xdr:sp>
    <xdr:clientData/>
  </xdr:twoCellAnchor>
  <xdr:twoCellAnchor>
    <xdr:from>
      <xdr:col>3</xdr:col>
      <xdr:colOff>114300</xdr:colOff>
      <xdr:row>23</xdr:row>
      <xdr:rowOff>19050</xdr:rowOff>
    </xdr:from>
    <xdr:to>
      <xdr:col>3</xdr:col>
      <xdr:colOff>114300</xdr:colOff>
      <xdr:row>24</xdr:row>
      <xdr:rowOff>9525</xdr:rowOff>
    </xdr:to>
    <xdr:sp macro="" textlink="">
      <xdr:nvSpPr>
        <xdr:cNvPr id="16" name="Line 15"/>
        <xdr:cNvSpPr>
          <a:spLocks noChangeShapeType="1"/>
        </xdr:cNvSpPr>
      </xdr:nvSpPr>
      <xdr:spPr bwMode="auto">
        <a:xfrm>
          <a:off x="2152650" y="3743325"/>
          <a:ext cx="0" cy="152400"/>
        </a:xfrm>
        <a:prstGeom prst="line">
          <a:avLst/>
        </a:prstGeom>
        <a:noFill/>
        <a:ln w="9525">
          <a:solidFill>
            <a:srgbClr val="000000"/>
          </a:solidFill>
          <a:round/>
          <a:headEnd/>
          <a:tailEnd/>
        </a:ln>
      </xdr:spPr>
    </xdr:sp>
    <xdr:clientData/>
  </xdr:twoCellAnchor>
  <xdr:twoCellAnchor>
    <xdr:from>
      <xdr:col>3</xdr:col>
      <xdr:colOff>47625</xdr:colOff>
      <xdr:row>23</xdr:row>
      <xdr:rowOff>95250</xdr:rowOff>
    </xdr:from>
    <xdr:to>
      <xdr:col>3</xdr:col>
      <xdr:colOff>171450</xdr:colOff>
      <xdr:row>23</xdr:row>
      <xdr:rowOff>95250</xdr:rowOff>
    </xdr:to>
    <xdr:sp macro="" textlink="">
      <xdr:nvSpPr>
        <xdr:cNvPr id="17" name="Line 16"/>
        <xdr:cNvSpPr>
          <a:spLocks noChangeShapeType="1"/>
        </xdr:cNvSpPr>
      </xdr:nvSpPr>
      <xdr:spPr bwMode="auto">
        <a:xfrm>
          <a:off x="2085975" y="3819525"/>
          <a:ext cx="123825" cy="0"/>
        </a:xfrm>
        <a:prstGeom prst="line">
          <a:avLst/>
        </a:prstGeom>
        <a:noFill/>
        <a:ln w="9525">
          <a:solidFill>
            <a:srgbClr val="000000"/>
          </a:solidFill>
          <a:round/>
          <a:headEnd/>
          <a:tailEnd/>
        </a:ln>
      </xdr:spPr>
    </xdr:sp>
    <xdr:clientData/>
  </xdr:twoCellAnchor>
  <xdr:twoCellAnchor>
    <xdr:from>
      <xdr:col>3</xdr:col>
      <xdr:colOff>104775</xdr:colOff>
      <xdr:row>29</xdr:row>
      <xdr:rowOff>9525</xdr:rowOff>
    </xdr:from>
    <xdr:to>
      <xdr:col>3</xdr:col>
      <xdr:colOff>104775</xdr:colOff>
      <xdr:row>30</xdr:row>
      <xdr:rowOff>9525</xdr:rowOff>
    </xdr:to>
    <xdr:sp macro="" textlink="">
      <xdr:nvSpPr>
        <xdr:cNvPr id="18" name="Line 17"/>
        <xdr:cNvSpPr>
          <a:spLocks noChangeShapeType="1"/>
        </xdr:cNvSpPr>
      </xdr:nvSpPr>
      <xdr:spPr bwMode="auto">
        <a:xfrm>
          <a:off x="2143125" y="4705350"/>
          <a:ext cx="0" cy="161925"/>
        </a:xfrm>
        <a:prstGeom prst="line">
          <a:avLst/>
        </a:prstGeom>
        <a:noFill/>
        <a:ln w="9525">
          <a:solidFill>
            <a:srgbClr val="000000"/>
          </a:solidFill>
          <a:round/>
          <a:headEnd/>
          <a:tailEnd/>
        </a:ln>
      </xdr:spPr>
    </xdr:sp>
    <xdr:clientData/>
  </xdr:twoCellAnchor>
  <xdr:twoCellAnchor>
    <xdr:from>
      <xdr:col>3</xdr:col>
      <xdr:colOff>19050</xdr:colOff>
      <xdr:row>29</xdr:row>
      <xdr:rowOff>95250</xdr:rowOff>
    </xdr:from>
    <xdr:to>
      <xdr:col>3</xdr:col>
      <xdr:colOff>190500</xdr:colOff>
      <xdr:row>29</xdr:row>
      <xdr:rowOff>95250</xdr:rowOff>
    </xdr:to>
    <xdr:sp macro="" textlink="">
      <xdr:nvSpPr>
        <xdr:cNvPr id="19" name="Line 18"/>
        <xdr:cNvSpPr>
          <a:spLocks noChangeShapeType="1"/>
        </xdr:cNvSpPr>
      </xdr:nvSpPr>
      <xdr:spPr bwMode="auto">
        <a:xfrm>
          <a:off x="2057400" y="4791075"/>
          <a:ext cx="171450" cy="0"/>
        </a:xfrm>
        <a:prstGeom prst="line">
          <a:avLst/>
        </a:prstGeom>
        <a:noFill/>
        <a:ln w="9525">
          <a:solidFill>
            <a:srgbClr val="000000"/>
          </a:solidFill>
          <a:round/>
          <a:headEnd/>
          <a:tailEnd/>
        </a:ln>
      </xdr:spPr>
    </xdr:sp>
    <xdr:clientData/>
  </xdr:twoCellAnchor>
  <xdr:twoCellAnchor>
    <xdr:from>
      <xdr:col>27</xdr:col>
      <xdr:colOff>219075</xdr:colOff>
      <xdr:row>139</xdr:row>
      <xdr:rowOff>9525</xdr:rowOff>
    </xdr:from>
    <xdr:to>
      <xdr:col>27</xdr:col>
      <xdr:colOff>323850</xdr:colOff>
      <xdr:row>139</xdr:row>
      <xdr:rowOff>9525</xdr:rowOff>
    </xdr:to>
    <xdr:sp macro="" textlink="">
      <xdr:nvSpPr>
        <xdr:cNvPr id="20" name="Line 19"/>
        <xdr:cNvSpPr>
          <a:spLocks noChangeShapeType="1"/>
        </xdr:cNvSpPr>
      </xdr:nvSpPr>
      <xdr:spPr bwMode="auto">
        <a:xfrm>
          <a:off x="17392650" y="28184475"/>
          <a:ext cx="104775" cy="0"/>
        </a:xfrm>
        <a:prstGeom prst="line">
          <a:avLst/>
        </a:prstGeom>
        <a:noFill/>
        <a:ln w="9525">
          <a:solidFill>
            <a:srgbClr val="000000"/>
          </a:solidFill>
          <a:round/>
          <a:headEnd/>
          <a:tailEnd/>
        </a:ln>
      </xdr:spPr>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0</xdr:colOff>
      <xdr:row>23</xdr:row>
      <xdr:rowOff>19050</xdr:rowOff>
    </xdr:from>
    <xdr:to>
      <xdr:col>5</xdr:col>
      <xdr:colOff>9525</xdr:colOff>
      <xdr:row>25</xdr:row>
      <xdr:rowOff>9525</xdr:rowOff>
    </xdr:to>
    <xdr:sp macro="" textlink="">
      <xdr:nvSpPr>
        <xdr:cNvPr id="2" name="Rectangle 1"/>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3" name="Line 2"/>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4" name="Line 3"/>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49</xdr:col>
      <xdr:colOff>581025</xdr:colOff>
      <xdr:row>32</xdr:row>
      <xdr:rowOff>85725</xdr:rowOff>
    </xdr:from>
    <xdr:to>
      <xdr:col>50</xdr:col>
      <xdr:colOff>533400</xdr:colOff>
      <xdr:row>32</xdr:row>
      <xdr:rowOff>85725</xdr:rowOff>
    </xdr:to>
    <xdr:sp macro="" textlink="">
      <xdr:nvSpPr>
        <xdr:cNvPr id="5" name="Line 4"/>
        <xdr:cNvSpPr>
          <a:spLocks noChangeShapeType="1"/>
        </xdr:cNvSpPr>
      </xdr:nvSpPr>
      <xdr:spPr bwMode="auto">
        <a:xfrm>
          <a:off x="31080075" y="5295900"/>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6" name="Arc 5"/>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7" name="Arc 6"/>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8" name="Line 7"/>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9" name="Line 8"/>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10" name="Line 9"/>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11" name="Line 10"/>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12" name="Line 11"/>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13" name="Line 12"/>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14" name="Line 13"/>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2</xdr:col>
      <xdr:colOff>571500</xdr:colOff>
      <xdr:row>81</xdr:row>
      <xdr:rowOff>85725</xdr:rowOff>
    </xdr:from>
    <xdr:to>
      <xdr:col>3</xdr:col>
      <xdr:colOff>38100</xdr:colOff>
      <xdr:row>81</xdr:row>
      <xdr:rowOff>85725</xdr:rowOff>
    </xdr:to>
    <xdr:sp macro="" textlink="">
      <xdr:nvSpPr>
        <xdr:cNvPr id="15" name="Line 14"/>
        <xdr:cNvSpPr>
          <a:spLocks noChangeShapeType="1"/>
        </xdr:cNvSpPr>
      </xdr:nvSpPr>
      <xdr:spPr bwMode="auto">
        <a:xfrm>
          <a:off x="1628775" y="15011400"/>
          <a:ext cx="76200" cy="0"/>
        </a:xfrm>
        <a:prstGeom prst="line">
          <a:avLst/>
        </a:prstGeom>
        <a:noFill/>
        <a:ln w="9525">
          <a:solidFill>
            <a:srgbClr val="000000"/>
          </a:solidFill>
          <a:round/>
          <a:headEnd/>
          <a:tailEnd/>
        </a:ln>
      </xdr:spPr>
    </xdr:sp>
    <xdr:clientData/>
  </xdr:twoCellAnchor>
  <xdr:twoCellAnchor>
    <xdr:from>
      <xdr:col>3</xdr:col>
      <xdr:colOff>571500</xdr:colOff>
      <xdr:row>81</xdr:row>
      <xdr:rowOff>38100</xdr:rowOff>
    </xdr:from>
    <xdr:to>
      <xdr:col>4</xdr:col>
      <xdr:colOff>38100</xdr:colOff>
      <xdr:row>81</xdr:row>
      <xdr:rowOff>114300</xdr:rowOff>
    </xdr:to>
    <xdr:sp macro="" textlink="">
      <xdr:nvSpPr>
        <xdr:cNvPr id="16" name="Line 15"/>
        <xdr:cNvSpPr>
          <a:spLocks noChangeShapeType="1"/>
        </xdr:cNvSpPr>
      </xdr:nvSpPr>
      <xdr:spPr bwMode="auto">
        <a:xfrm>
          <a:off x="2238375" y="14963775"/>
          <a:ext cx="76200" cy="76200"/>
        </a:xfrm>
        <a:prstGeom prst="line">
          <a:avLst/>
        </a:prstGeom>
        <a:noFill/>
        <a:ln w="9525">
          <a:solidFill>
            <a:srgbClr val="000000"/>
          </a:solidFill>
          <a:round/>
          <a:headEnd/>
          <a:tailEnd/>
        </a:ln>
      </xdr:spPr>
    </xdr:sp>
    <xdr:clientData/>
  </xdr:twoCellAnchor>
  <xdr:twoCellAnchor>
    <xdr:from>
      <xdr:col>4</xdr:col>
      <xdr:colOff>581025</xdr:colOff>
      <xdr:row>81</xdr:row>
      <xdr:rowOff>9525</xdr:rowOff>
    </xdr:from>
    <xdr:to>
      <xdr:col>5</xdr:col>
      <xdr:colOff>47625</xdr:colOff>
      <xdr:row>81</xdr:row>
      <xdr:rowOff>133350</xdr:rowOff>
    </xdr:to>
    <xdr:sp macro="" textlink="">
      <xdr:nvSpPr>
        <xdr:cNvPr id="17" name="Line 16"/>
        <xdr:cNvSpPr>
          <a:spLocks noChangeShapeType="1"/>
        </xdr:cNvSpPr>
      </xdr:nvSpPr>
      <xdr:spPr bwMode="auto">
        <a:xfrm flipV="1">
          <a:off x="2857500" y="14935200"/>
          <a:ext cx="76200" cy="123825"/>
        </a:xfrm>
        <a:prstGeom prst="line">
          <a:avLst/>
        </a:prstGeom>
        <a:noFill/>
        <a:ln w="9525">
          <a:solidFill>
            <a:srgbClr val="000000"/>
          </a:solidFill>
          <a:round/>
          <a:headEnd/>
          <a:tailEnd/>
        </a:ln>
      </xdr:spPr>
    </xdr:sp>
    <xdr:clientData/>
  </xdr:twoCellAnchor>
  <xdr:twoCellAnchor>
    <xdr:from>
      <xdr:col>54</xdr:col>
      <xdr:colOff>200025</xdr:colOff>
      <xdr:row>95</xdr:row>
      <xdr:rowOff>85725</xdr:rowOff>
    </xdr:from>
    <xdr:to>
      <xdr:col>54</xdr:col>
      <xdr:colOff>314325</xdr:colOff>
      <xdr:row>96</xdr:row>
      <xdr:rowOff>47625</xdr:rowOff>
    </xdr:to>
    <xdr:sp macro="" textlink="">
      <xdr:nvSpPr>
        <xdr:cNvPr id="18" name="Line 17"/>
        <xdr:cNvSpPr>
          <a:spLocks noChangeShapeType="1"/>
        </xdr:cNvSpPr>
      </xdr:nvSpPr>
      <xdr:spPr bwMode="auto">
        <a:xfrm>
          <a:off x="33747075" y="17506950"/>
          <a:ext cx="114300" cy="123825"/>
        </a:xfrm>
        <a:prstGeom prst="line">
          <a:avLst/>
        </a:prstGeom>
        <a:noFill/>
        <a:ln w="9525">
          <a:solidFill>
            <a:srgbClr val="000000"/>
          </a:solidFill>
          <a:round/>
          <a:headEnd/>
          <a:tailEnd/>
        </a:ln>
      </xdr:spPr>
    </xdr:sp>
    <xdr:clientData/>
  </xdr:twoCellAnchor>
  <xdr:twoCellAnchor>
    <xdr:from>
      <xdr:col>3</xdr:col>
      <xdr:colOff>581025</xdr:colOff>
      <xdr:row>81</xdr:row>
      <xdr:rowOff>19050</xdr:rowOff>
    </xdr:from>
    <xdr:to>
      <xdr:col>4</xdr:col>
      <xdr:colOff>47625</xdr:colOff>
      <xdr:row>81</xdr:row>
      <xdr:rowOff>104775</xdr:rowOff>
    </xdr:to>
    <xdr:sp macro="" textlink="">
      <xdr:nvSpPr>
        <xdr:cNvPr id="19" name="Line 18"/>
        <xdr:cNvSpPr>
          <a:spLocks noChangeShapeType="1"/>
        </xdr:cNvSpPr>
      </xdr:nvSpPr>
      <xdr:spPr bwMode="auto">
        <a:xfrm flipV="1">
          <a:off x="2247900" y="14944725"/>
          <a:ext cx="76200" cy="85725"/>
        </a:xfrm>
        <a:prstGeom prst="line">
          <a:avLst/>
        </a:prstGeom>
        <a:noFill/>
        <a:ln w="9525">
          <a:solidFill>
            <a:srgbClr val="000000"/>
          </a:solidFill>
          <a:round/>
          <a:headEnd/>
          <a:tailEnd/>
        </a:ln>
      </xdr:spPr>
    </xdr:sp>
    <xdr:clientData/>
  </xdr:twoCellAnchor>
  <xdr:twoCellAnchor>
    <xdr:from>
      <xdr:col>4</xdr:col>
      <xdr:colOff>552450</xdr:colOff>
      <xdr:row>81</xdr:row>
      <xdr:rowOff>38100</xdr:rowOff>
    </xdr:from>
    <xdr:to>
      <xdr:col>5</xdr:col>
      <xdr:colOff>85725</xdr:colOff>
      <xdr:row>81</xdr:row>
      <xdr:rowOff>133350</xdr:rowOff>
    </xdr:to>
    <xdr:sp macro="" textlink="">
      <xdr:nvSpPr>
        <xdr:cNvPr id="20" name="Line 19"/>
        <xdr:cNvSpPr>
          <a:spLocks noChangeShapeType="1"/>
        </xdr:cNvSpPr>
      </xdr:nvSpPr>
      <xdr:spPr bwMode="auto">
        <a:xfrm>
          <a:off x="2828925" y="14963775"/>
          <a:ext cx="142875" cy="95250"/>
        </a:xfrm>
        <a:prstGeom prst="line">
          <a:avLst/>
        </a:prstGeom>
        <a:noFill/>
        <a:ln w="9525">
          <a:solidFill>
            <a:srgbClr val="000000"/>
          </a:solidFill>
          <a:round/>
          <a:headEnd/>
          <a:tailEnd/>
        </a:ln>
      </xdr:spPr>
    </xdr:sp>
    <xdr:clientData/>
  </xdr:twoCellAnchor>
  <xdr:twoCellAnchor>
    <xdr:from>
      <xdr:col>2</xdr:col>
      <xdr:colOff>571500</xdr:colOff>
      <xdr:row>85</xdr:row>
      <xdr:rowOff>85725</xdr:rowOff>
    </xdr:from>
    <xdr:to>
      <xdr:col>3</xdr:col>
      <xdr:colOff>38100</xdr:colOff>
      <xdr:row>85</xdr:row>
      <xdr:rowOff>85725</xdr:rowOff>
    </xdr:to>
    <xdr:sp macro="" textlink="">
      <xdr:nvSpPr>
        <xdr:cNvPr id="21" name="Line 20"/>
        <xdr:cNvSpPr>
          <a:spLocks noChangeShapeType="1"/>
        </xdr:cNvSpPr>
      </xdr:nvSpPr>
      <xdr:spPr bwMode="auto">
        <a:xfrm>
          <a:off x="1628775" y="15763875"/>
          <a:ext cx="76200" cy="0"/>
        </a:xfrm>
        <a:prstGeom prst="line">
          <a:avLst/>
        </a:prstGeom>
        <a:noFill/>
        <a:ln w="9525">
          <a:solidFill>
            <a:srgbClr val="000000"/>
          </a:solidFill>
          <a:round/>
          <a:headEnd/>
          <a:tailEnd/>
        </a:ln>
      </xdr:spPr>
    </xdr:sp>
    <xdr:clientData/>
  </xdr:twoCellAnchor>
  <xdr:twoCellAnchor>
    <xdr:from>
      <xdr:col>3</xdr:col>
      <xdr:colOff>571500</xdr:colOff>
      <xdr:row>85</xdr:row>
      <xdr:rowOff>38100</xdr:rowOff>
    </xdr:from>
    <xdr:to>
      <xdr:col>4</xdr:col>
      <xdr:colOff>38100</xdr:colOff>
      <xdr:row>85</xdr:row>
      <xdr:rowOff>114300</xdr:rowOff>
    </xdr:to>
    <xdr:sp macro="" textlink="">
      <xdr:nvSpPr>
        <xdr:cNvPr id="22" name="Line 21"/>
        <xdr:cNvSpPr>
          <a:spLocks noChangeShapeType="1"/>
        </xdr:cNvSpPr>
      </xdr:nvSpPr>
      <xdr:spPr bwMode="auto">
        <a:xfrm>
          <a:off x="2238375" y="15716250"/>
          <a:ext cx="76200" cy="76200"/>
        </a:xfrm>
        <a:prstGeom prst="line">
          <a:avLst/>
        </a:prstGeom>
        <a:noFill/>
        <a:ln w="9525">
          <a:solidFill>
            <a:srgbClr val="000000"/>
          </a:solidFill>
          <a:round/>
          <a:headEnd/>
          <a:tailEnd/>
        </a:ln>
      </xdr:spPr>
    </xdr:sp>
    <xdr:clientData/>
  </xdr:twoCellAnchor>
  <xdr:twoCellAnchor>
    <xdr:from>
      <xdr:col>4</xdr:col>
      <xdr:colOff>581025</xdr:colOff>
      <xdr:row>85</xdr:row>
      <xdr:rowOff>9525</xdr:rowOff>
    </xdr:from>
    <xdr:to>
      <xdr:col>5</xdr:col>
      <xdr:colOff>47625</xdr:colOff>
      <xdr:row>85</xdr:row>
      <xdr:rowOff>133350</xdr:rowOff>
    </xdr:to>
    <xdr:sp macro="" textlink="">
      <xdr:nvSpPr>
        <xdr:cNvPr id="23" name="Line 22"/>
        <xdr:cNvSpPr>
          <a:spLocks noChangeShapeType="1"/>
        </xdr:cNvSpPr>
      </xdr:nvSpPr>
      <xdr:spPr bwMode="auto">
        <a:xfrm flipV="1">
          <a:off x="2857500" y="15687675"/>
          <a:ext cx="76200" cy="123825"/>
        </a:xfrm>
        <a:prstGeom prst="line">
          <a:avLst/>
        </a:prstGeom>
        <a:noFill/>
        <a:ln w="9525">
          <a:solidFill>
            <a:srgbClr val="000000"/>
          </a:solidFill>
          <a:round/>
          <a:headEnd/>
          <a:tailEnd/>
        </a:ln>
      </xdr:spPr>
    </xdr:sp>
    <xdr:clientData/>
  </xdr:twoCellAnchor>
  <xdr:twoCellAnchor>
    <xdr:from>
      <xdr:col>3</xdr:col>
      <xdr:colOff>581025</xdr:colOff>
      <xdr:row>85</xdr:row>
      <xdr:rowOff>19050</xdr:rowOff>
    </xdr:from>
    <xdr:to>
      <xdr:col>4</xdr:col>
      <xdr:colOff>47625</xdr:colOff>
      <xdr:row>85</xdr:row>
      <xdr:rowOff>104775</xdr:rowOff>
    </xdr:to>
    <xdr:sp macro="" textlink="">
      <xdr:nvSpPr>
        <xdr:cNvPr id="24" name="Line 23"/>
        <xdr:cNvSpPr>
          <a:spLocks noChangeShapeType="1"/>
        </xdr:cNvSpPr>
      </xdr:nvSpPr>
      <xdr:spPr bwMode="auto">
        <a:xfrm flipV="1">
          <a:off x="2247900" y="15697200"/>
          <a:ext cx="76200" cy="85725"/>
        </a:xfrm>
        <a:prstGeom prst="line">
          <a:avLst/>
        </a:prstGeom>
        <a:noFill/>
        <a:ln w="9525">
          <a:solidFill>
            <a:srgbClr val="000000"/>
          </a:solidFill>
          <a:round/>
          <a:headEnd/>
          <a:tailEnd/>
        </a:ln>
      </xdr:spPr>
    </xdr:sp>
    <xdr:clientData/>
  </xdr:twoCellAnchor>
  <xdr:twoCellAnchor>
    <xdr:from>
      <xdr:col>4</xdr:col>
      <xdr:colOff>552450</xdr:colOff>
      <xdr:row>85</xdr:row>
      <xdr:rowOff>38100</xdr:rowOff>
    </xdr:from>
    <xdr:to>
      <xdr:col>5</xdr:col>
      <xdr:colOff>85725</xdr:colOff>
      <xdr:row>85</xdr:row>
      <xdr:rowOff>133350</xdr:rowOff>
    </xdr:to>
    <xdr:sp macro="" textlink="">
      <xdr:nvSpPr>
        <xdr:cNvPr id="25" name="Line 24"/>
        <xdr:cNvSpPr>
          <a:spLocks noChangeShapeType="1"/>
        </xdr:cNvSpPr>
      </xdr:nvSpPr>
      <xdr:spPr bwMode="auto">
        <a:xfrm>
          <a:off x="2828925" y="15716250"/>
          <a:ext cx="142875" cy="95250"/>
        </a:xfrm>
        <a:prstGeom prst="line">
          <a:avLst/>
        </a:prstGeom>
        <a:noFill/>
        <a:ln w="9525">
          <a:solidFill>
            <a:srgbClr val="000000"/>
          </a:solidFill>
          <a:round/>
          <a:headEnd/>
          <a:tailEnd/>
        </a:ln>
      </xdr:spPr>
    </xdr:sp>
    <xdr:clientData/>
  </xdr:twoCellAnchor>
  <xdr:twoCellAnchor>
    <xdr:from>
      <xdr:col>4</xdr:col>
      <xdr:colOff>0</xdr:colOff>
      <xdr:row>23</xdr:row>
      <xdr:rowOff>19050</xdr:rowOff>
    </xdr:from>
    <xdr:to>
      <xdr:col>5</xdr:col>
      <xdr:colOff>9525</xdr:colOff>
      <xdr:row>25</xdr:row>
      <xdr:rowOff>9525</xdr:rowOff>
    </xdr:to>
    <xdr:sp macro="" textlink="">
      <xdr:nvSpPr>
        <xdr:cNvPr id="26" name="Rectangle 25"/>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27" name="Line 26"/>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28" name="Line 27"/>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xdr:col>
      <xdr:colOff>28575</xdr:colOff>
      <xdr:row>32</xdr:row>
      <xdr:rowOff>28575</xdr:rowOff>
    </xdr:from>
    <xdr:to>
      <xdr:col>4</xdr:col>
      <xdr:colOff>590550</xdr:colOff>
      <xdr:row>32</xdr:row>
      <xdr:rowOff>28575</xdr:rowOff>
    </xdr:to>
    <xdr:sp macro="" textlink="">
      <xdr:nvSpPr>
        <xdr:cNvPr id="29" name="Line 28"/>
        <xdr:cNvSpPr>
          <a:spLocks noChangeShapeType="1"/>
        </xdr:cNvSpPr>
      </xdr:nvSpPr>
      <xdr:spPr bwMode="auto">
        <a:xfrm>
          <a:off x="2305050" y="5238750"/>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30" name="Arc 29"/>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31" name="Arc 30"/>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32" name="Line 31"/>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33" name="Line 32"/>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34" name="Line 33"/>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35" name="Line 34"/>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36" name="Line 35"/>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37" name="Line 36"/>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38" name="Line 37"/>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4</xdr:col>
      <xdr:colOff>190500</xdr:colOff>
      <xdr:row>26</xdr:row>
      <xdr:rowOff>9525</xdr:rowOff>
    </xdr:from>
    <xdr:to>
      <xdr:col>4</xdr:col>
      <xdr:colOff>190500</xdr:colOff>
      <xdr:row>32</xdr:row>
      <xdr:rowOff>57150</xdr:rowOff>
    </xdr:to>
    <xdr:sp macro="" textlink="">
      <xdr:nvSpPr>
        <xdr:cNvPr id="39" name="Line 38"/>
        <xdr:cNvSpPr>
          <a:spLocks noChangeShapeType="1"/>
        </xdr:cNvSpPr>
      </xdr:nvSpPr>
      <xdr:spPr bwMode="auto">
        <a:xfrm>
          <a:off x="2466975" y="4248150"/>
          <a:ext cx="0" cy="1019175"/>
        </a:xfrm>
        <a:prstGeom prst="line">
          <a:avLst/>
        </a:prstGeom>
        <a:noFill/>
        <a:ln w="9525">
          <a:solidFill>
            <a:srgbClr val="000000"/>
          </a:solidFill>
          <a:round/>
          <a:headEnd/>
          <a:tailEnd/>
        </a:ln>
      </xdr:spPr>
    </xdr:sp>
    <xdr:clientData/>
  </xdr:twoCellAnchor>
  <xdr:twoCellAnchor>
    <xdr:from>
      <xdr:col>4</xdr:col>
      <xdr:colOff>428625</xdr:colOff>
      <xdr:row>26</xdr:row>
      <xdr:rowOff>19050</xdr:rowOff>
    </xdr:from>
    <xdr:to>
      <xdr:col>4</xdr:col>
      <xdr:colOff>428625</xdr:colOff>
      <xdr:row>32</xdr:row>
      <xdr:rowOff>47625</xdr:rowOff>
    </xdr:to>
    <xdr:sp macro="" textlink="">
      <xdr:nvSpPr>
        <xdr:cNvPr id="40" name="Line 39"/>
        <xdr:cNvSpPr>
          <a:spLocks noChangeShapeType="1"/>
        </xdr:cNvSpPr>
      </xdr:nvSpPr>
      <xdr:spPr bwMode="auto">
        <a:xfrm>
          <a:off x="2705100" y="4257675"/>
          <a:ext cx="0" cy="1000125"/>
        </a:xfrm>
        <a:prstGeom prst="line">
          <a:avLst/>
        </a:prstGeom>
        <a:noFill/>
        <a:ln w="9525">
          <a:solidFill>
            <a:srgbClr val="000000"/>
          </a:solidFill>
          <a:round/>
          <a:headEnd/>
          <a:tailEnd/>
        </a:ln>
      </xdr:spPr>
    </xdr:sp>
    <xdr:clientData/>
  </xdr:twoCellAnchor>
  <xdr:twoCellAnchor>
    <xdr:from>
      <xdr:col>4</xdr:col>
      <xdr:colOff>0</xdr:colOff>
      <xdr:row>23</xdr:row>
      <xdr:rowOff>19050</xdr:rowOff>
    </xdr:from>
    <xdr:to>
      <xdr:col>5</xdr:col>
      <xdr:colOff>9525</xdr:colOff>
      <xdr:row>25</xdr:row>
      <xdr:rowOff>9525</xdr:rowOff>
    </xdr:to>
    <xdr:sp macro="" textlink="">
      <xdr:nvSpPr>
        <xdr:cNvPr id="41" name="Rectangle 40"/>
        <xdr:cNvSpPr>
          <a:spLocks noChangeArrowheads="1"/>
        </xdr:cNvSpPr>
      </xdr:nvSpPr>
      <xdr:spPr bwMode="auto">
        <a:xfrm>
          <a:off x="2276475" y="3771900"/>
          <a:ext cx="619125" cy="314325"/>
        </a:xfrm>
        <a:prstGeom prst="rect">
          <a:avLst/>
        </a:prstGeom>
        <a:noFill/>
        <a:ln w="9525">
          <a:solidFill>
            <a:srgbClr val="000000"/>
          </a:solidFill>
          <a:miter lim="800000"/>
          <a:headEnd/>
          <a:tailEnd/>
        </a:ln>
      </xdr:spPr>
    </xdr:sp>
    <xdr:clientData/>
  </xdr:twoCellAnchor>
  <xdr:twoCellAnchor>
    <xdr:from>
      <xdr:col>4</xdr:col>
      <xdr:colOff>190500</xdr:colOff>
      <xdr:row>25</xdr:row>
      <xdr:rowOff>9525</xdr:rowOff>
    </xdr:from>
    <xdr:to>
      <xdr:col>4</xdr:col>
      <xdr:colOff>190500</xdr:colOff>
      <xdr:row>31</xdr:row>
      <xdr:rowOff>57150</xdr:rowOff>
    </xdr:to>
    <xdr:sp macro="" textlink="">
      <xdr:nvSpPr>
        <xdr:cNvPr id="42" name="Line 41"/>
        <xdr:cNvSpPr>
          <a:spLocks noChangeShapeType="1"/>
        </xdr:cNvSpPr>
      </xdr:nvSpPr>
      <xdr:spPr bwMode="auto">
        <a:xfrm>
          <a:off x="2466975" y="4086225"/>
          <a:ext cx="0" cy="1019175"/>
        </a:xfrm>
        <a:prstGeom prst="line">
          <a:avLst/>
        </a:prstGeom>
        <a:noFill/>
        <a:ln w="9525">
          <a:solidFill>
            <a:srgbClr val="000000"/>
          </a:solidFill>
          <a:round/>
          <a:headEnd/>
          <a:tailEnd/>
        </a:ln>
      </xdr:spPr>
    </xdr:sp>
    <xdr:clientData/>
  </xdr:twoCellAnchor>
  <xdr:twoCellAnchor>
    <xdr:from>
      <xdr:col>4</xdr:col>
      <xdr:colOff>428625</xdr:colOff>
      <xdr:row>25</xdr:row>
      <xdr:rowOff>19050</xdr:rowOff>
    </xdr:from>
    <xdr:to>
      <xdr:col>4</xdr:col>
      <xdr:colOff>428625</xdr:colOff>
      <xdr:row>31</xdr:row>
      <xdr:rowOff>47625</xdr:rowOff>
    </xdr:to>
    <xdr:sp macro="" textlink="">
      <xdr:nvSpPr>
        <xdr:cNvPr id="43" name="Line 42"/>
        <xdr:cNvSpPr>
          <a:spLocks noChangeShapeType="1"/>
        </xdr:cNvSpPr>
      </xdr:nvSpPr>
      <xdr:spPr bwMode="auto">
        <a:xfrm>
          <a:off x="2705100" y="4095750"/>
          <a:ext cx="0" cy="1000125"/>
        </a:xfrm>
        <a:prstGeom prst="line">
          <a:avLst/>
        </a:prstGeom>
        <a:noFill/>
        <a:ln w="9525">
          <a:solidFill>
            <a:srgbClr val="000000"/>
          </a:solidFill>
          <a:round/>
          <a:headEnd/>
          <a:tailEnd/>
        </a:ln>
      </xdr:spPr>
    </xdr:sp>
    <xdr:clientData/>
  </xdr:twoCellAnchor>
  <xdr:twoCellAnchor>
    <xdr:from>
      <xdr:col>4</xdr:col>
      <xdr:colOff>19050</xdr:colOff>
      <xdr:row>32</xdr:row>
      <xdr:rowOff>38100</xdr:rowOff>
    </xdr:from>
    <xdr:to>
      <xdr:col>4</xdr:col>
      <xdr:colOff>581025</xdr:colOff>
      <xdr:row>32</xdr:row>
      <xdr:rowOff>38100</xdr:rowOff>
    </xdr:to>
    <xdr:sp macro="" textlink="">
      <xdr:nvSpPr>
        <xdr:cNvPr id="44" name="Line 43"/>
        <xdr:cNvSpPr>
          <a:spLocks noChangeShapeType="1"/>
        </xdr:cNvSpPr>
      </xdr:nvSpPr>
      <xdr:spPr bwMode="auto">
        <a:xfrm>
          <a:off x="2295525" y="5248275"/>
          <a:ext cx="561975" cy="0"/>
        </a:xfrm>
        <a:prstGeom prst="line">
          <a:avLst/>
        </a:prstGeom>
        <a:noFill/>
        <a:ln w="9525">
          <a:solidFill>
            <a:srgbClr val="000000"/>
          </a:solidFill>
          <a:round/>
          <a:headEnd/>
          <a:tailEnd/>
        </a:ln>
      </xdr:spPr>
    </xdr:sp>
    <xdr:clientData/>
  </xdr:twoCellAnchor>
  <xdr:twoCellAnchor>
    <xdr:from>
      <xdr:col>4</xdr:col>
      <xdr:colOff>342900</xdr:colOff>
      <xdr:row>22</xdr:row>
      <xdr:rowOff>104775</xdr:rowOff>
    </xdr:from>
    <xdr:to>
      <xdr:col>5</xdr:col>
      <xdr:colOff>9525</xdr:colOff>
      <xdr:row>23</xdr:row>
      <xdr:rowOff>9525</xdr:rowOff>
    </xdr:to>
    <xdr:sp macro="" textlink="">
      <xdr:nvSpPr>
        <xdr:cNvPr id="45" name="Arc 44"/>
        <xdr:cNvSpPr>
          <a:spLocks/>
        </xdr:cNvSpPr>
      </xdr:nvSpPr>
      <xdr:spPr bwMode="auto">
        <a:xfrm>
          <a:off x="2619375" y="3695700"/>
          <a:ext cx="276225" cy="666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22</xdr:row>
      <xdr:rowOff>95250</xdr:rowOff>
    </xdr:from>
    <xdr:to>
      <xdr:col>4</xdr:col>
      <xdr:colOff>361950</xdr:colOff>
      <xdr:row>23</xdr:row>
      <xdr:rowOff>19050</xdr:rowOff>
    </xdr:to>
    <xdr:sp macro="" textlink="">
      <xdr:nvSpPr>
        <xdr:cNvPr id="46" name="Arc 45"/>
        <xdr:cNvSpPr>
          <a:spLocks/>
        </xdr:cNvSpPr>
      </xdr:nvSpPr>
      <xdr:spPr bwMode="auto">
        <a:xfrm flipH="1">
          <a:off x="2276475" y="3686175"/>
          <a:ext cx="361950" cy="8572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4</xdr:col>
      <xdr:colOff>0</xdr:colOff>
      <xdr:row>23</xdr:row>
      <xdr:rowOff>28575</xdr:rowOff>
    </xdr:from>
    <xdr:to>
      <xdr:col>4</xdr:col>
      <xdr:colOff>581025</xdr:colOff>
      <xdr:row>23</xdr:row>
      <xdr:rowOff>28575</xdr:rowOff>
    </xdr:to>
    <xdr:sp macro="" textlink="">
      <xdr:nvSpPr>
        <xdr:cNvPr id="47" name="Line 46"/>
        <xdr:cNvSpPr>
          <a:spLocks noChangeShapeType="1"/>
        </xdr:cNvSpPr>
      </xdr:nvSpPr>
      <xdr:spPr bwMode="auto">
        <a:xfrm>
          <a:off x="2276475" y="3781425"/>
          <a:ext cx="5810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48" name="Line 47"/>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49" name="Line 48"/>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114300</xdr:colOff>
      <xdr:row>24</xdr:row>
      <xdr:rowOff>19050</xdr:rowOff>
    </xdr:from>
    <xdr:to>
      <xdr:col>3</xdr:col>
      <xdr:colOff>114300</xdr:colOff>
      <xdr:row>25</xdr:row>
      <xdr:rowOff>9525</xdr:rowOff>
    </xdr:to>
    <xdr:sp macro="" textlink="">
      <xdr:nvSpPr>
        <xdr:cNvPr id="50" name="Line 49"/>
        <xdr:cNvSpPr>
          <a:spLocks noChangeShapeType="1"/>
        </xdr:cNvSpPr>
      </xdr:nvSpPr>
      <xdr:spPr bwMode="auto">
        <a:xfrm>
          <a:off x="1781175" y="3933825"/>
          <a:ext cx="0" cy="152400"/>
        </a:xfrm>
        <a:prstGeom prst="line">
          <a:avLst/>
        </a:prstGeom>
        <a:noFill/>
        <a:ln w="9525">
          <a:solidFill>
            <a:srgbClr val="000000"/>
          </a:solidFill>
          <a:round/>
          <a:headEnd/>
          <a:tailEnd/>
        </a:ln>
      </xdr:spPr>
    </xdr:sp>
    <xdr:clientData/>
  </xdr:twoCellAnchor>
  <xdr:twoCellAnchor>
    <xdr:from>
      <xdr:col>3</xdr:col>
      <xdr:colOff>47625</xdr:colOff>
      <xdr:row>24</xdr:row>
      <xdr:rowOff>95250</xdr:rowOff>
    </xdr:from>
    <xdr:to>
      <xdr:col>3</xdr:col>
      <xdr:colOff>171450</xdr:colOff>
      <xdr:row>24</xdr:row>
      <xdr:rowOff>95250</xdr:rowOff>
    </xdr:to>
    <xdr:sp macro="" textlink="">
      <xdr:nvSpPr>
        <xdr:cNvPr id="51" name="Line 50"/>
        <xdr:cNvSpPr>
          <a:spLocks noChangeShapeType="1"/>
        </xdr:cNvSpPr>
      </xdr:nvSpPr>
      <xdr:spPr bwMode="auto">
        <a:xfrm>
          <a:off x="1714500" y="4010025"/>
          <a:ext cx="123825" cy="0"/>
        </a:xfrm>
        <a:prstGeom prst="line">
          <a:avLst/>
        </a:prstGeom>
        <a:noFill/>
        <a:ln w="9525">
          <a:solidFill>
            <a:srgbClr val="000000"/>
          </a:solidFill>
          <a:round/>
          <a:headEnd/>
          <a:tailEnd/>
        </a:ln>
      </xdr:spPr>
    </xdr:sp>
    <xdr:clientData/>
  </xdr:twoCellAnchor>
  <xdr:twoCellAnchor>
    <xdr:from>
      <xdr:col>3</xdr:col>
      <xdr:colOff>104775</xdr:colOff>
      <xdr:row>31</xdr:row>
      <xdr:rowOff>9525</xdr:rowOff>
    </xdr:from>
    <xdr:to>
      <xdr:col>3</xdr:col>
      <xdr:colOff>104775</xdr:colOff>
      <xdr:row>32</xdr:row>
      <xdr:rowOff>9525</xdr:rowOff>
    </xdr:to>
    <xdr:sp macro="" textlink="">
      <xdr:nvSpPr>
        <xdr:cNvPr id="52" name="Line 51"/>
        <xdr:cNvSpPr>
          <a:spLocks noChangeShapeType="1"/>
        </xdr:cNvSpPr>
      </xdr:nvSpPr>
      <xdr:spPr bwMode="auto">
        <a:xfrm>
          <a:off x="1771650" y="5057775"/>
          <a:ext cx="0" cy="161925"/>
        </a:xfrm>
        <a:prstGeom prst="line">
          <a:avLst/>
        </a:prstGeom>
        <a:noFill/>
        <a:ln w="9525">
          <a:solidFill>
            <a:srgbClr val="000000"/>
          </a:solidFill>
          <a:round/>
          <a:headEnd/>
          <a:tailEnd/>
        </a:ln>
      </xdr:spPr>
    </xdr:sp>
    <xdr:clientData/>
  </xdr:twoCellAnchor>
  <xdr:twoCellAnchor>
    <xdr:from>
      <xdr:col>3</xdr:col>
      <xdr:colOff>19050</xdr:colOff>
      <xdr:row>31</xdr:row>
      <xdr:rowOff>95250</xdr:rowOff>
    </xdr:from>
    <xdr:to>
      <xdr:col>3</xdr:col>
      <xdr:colOff>190500</xdr:colOff>
      <xdr:row>31</xdr:row>
      <xdr:rowOff>95250</xdr:rowOff>
    </xdr:to>
    <xdr:sp macro="" textlink="">
      <xdr:nvSpPr>
        <xdr:cNvPr id="53" name="Line 52"/>
        <xdr:cNvSpPr>
          <a:spLocks noChangeShapeType="1"/>
        </xdr:cNvSpPr>
      </xdr:nvSpPr>
      <xdr:spPr bwMode="auto">
        <a:xfrm>
          <a:off x="1685925" y="5143500"/>
          <a:ext cx="171450" cy="0"/>
        </a:xfrm>
        <a:prstGeom prst="line">
          <a:avLst/>
        </a:prstGeom>
        <a:noFill/>
        <a:ln w="9525">
          <a:solidFill>
            <a:srgbClr val="000000"/>
          </a:solidFill>
          <a:round/>
          <a:headEnd/>
          <a:tailEnd/>
        </a:ln>
      </xdr:spPr>
    </xdr:sp>
    <xdr:clientData/>
  </xdr:twoCellAnchor>
  <xdr:twoCellAnchor>
    <xdr:from>
      <xdr:col>2</xdr:col>
      <xdr:colOff>571500</xdr:colOff>
      <xdr:row>92</xdr:row>
      <xdr:rowOff>85725</xdr:rowOff>
    </xdr:from>
    <xdr:to>
      <xdr:col>3</xdr:col>
      <xdr:colOff>38100</xdr:colOff>
      <xdr:row>92</xdr:row>
      <xdr:rowOff>85725</xdr:rowOff>
    </xdr:to>
    <xdr:sp macro="" textlink="">
      <xdr:nvSpPr>
        <xdr:cNvPr id="54" name="Line 53"/>
        <xdr:cNvSpPr>
          <a:spLocks noChangeShapeType="1"/>
        </xdr:cNvSpPr>
      </xdr:nvSpPr>
      <xdr:spPr bwMode="auto">
        <a:xfrm>
          <a:off x="1628775" y="17021175"/>
          <a:ext cx="76200" cy="0"/>
        </a:xfrm>
        <a:prstGeom prst="line">
          <a:avLst/>
        </a:prstGeom>
        <a:noFill/>
        <a:ln w="9525">
          <a:solidFill>
            <a:srgbClr val="000000"/>
          </a:solidFill>
          <a:round/>
          <a:headEnd/>
          <a:tailEnd/>
        </a:ln>
      </xdr:spPr>
    </xdr:sp>
    <xdr:clientData/>
  </xdr:twoCellAnchor>
  <xdr:twoCellAnchor>
    <xdr:from>
      <xdr:col>3</xdr:col>
      <xdr:colOff>571500</xdr:colOff>
      <xdr:row>92</xdr:row>
      <xdr:rowOff>38100</xdr:rowOff>
    </xdr:from>
    <xdr:to>
      <xdr:col>4</xdr:col>
      <xdr:colOff>38100</xdr:colOff>
      <xdr:row>92</xdr:row>
      <xdr:rowOff>114300</xdr:rowOff>
    </xdr:to>
    <xdr:sp macro="" textlink="">
      <xdr:nvSpPr>
        <xdr:cNvPr id="55" name="Line 54"/>
        <xdr:cNvSpPr>
          <a:spLocks noChangeShapeType="1"/>
        </xdr:cNvSpPr>
      </xdr:nvSpPr>
      <xdr:spPr bwMode="auto">
        <a:xfrm>
          <a:off x="2238375" y="16973550"/>
          <a:ext cx="76200" cy="76200"/>
        </a:xfrm>
        <a:prstGeom prst="line">
          <a:avLst/>
        </a:prstGeom>
        <a:noFill/>
        <a:ln w="9525">
          <a:solidFill>
            <a:srgbClr val="000000"/>
          </a:solidFill>
          <a:round/>
          <a:headEnd/>
          <a:tailEnd/>
        </a:ln>
      </xdr:spPr>
    </xdr:sp>
    <xdr:clientData/>
  </xdr:twoCellAnchor>
  <xdr:twoCellAnchor>
    <xdr:from>
      <xdr:col>4</xdr:col>
      <xdr:colOff>581025</xdr:colOff>
      <xdr:row>92</xdr:row>
      <xdr:rowOff>9525</xdr:rowOff>
    </xdr:from>
    <xdr:to>
      <xdr:col>5</xdr:col>
      <xdr:colOff>47625</xdr:colOff>
      <xdr:row>92</xdr:row>
      <xdr:rowOff>133350</xdr:rowOff>
    </xdr:to>
    <xdr:sp macro="" textlink="">
      <xdr:nvSpPr>
        <xdr:cNvPr id="56" name="Line 55"/>
        <xdr:cNvSpPr>
          <a:spLocks noChangeShapeType="1"/>
        </xdr:cNvSpPr>
      </xdr:nvSpPr>
      <xdr:spPr bwMode="auto">
        <a:xfrm flipV="1">
          <a:off x="2857500" y="16944975"/>
          <a:ext cx="76200" cy="123825"/>
        </a:xfrm>
        <a:prstGeom prst="line">
          <a:avLst/>
        </a:prstGeom>
        <a:noFill/>
        <a:ln w="9525">
          <a:solidFill>
            <a:srgbClr val="000000"/>
          </a:solidFill>
          <a:round/>
          <a:headEnd/>
          <a:tailEnd/>
        </a:ln>
      </xdr:spPr>
    </xdr:sp>
    <xdr:clientData/>
  </xdr:twoCellAnchor>
  <xdr:twoCellAnchor>
    <xdr:from>
      <xdr:col>3</xdr:col>
      <xdr:colOff>581025</xdr:colOff>
      <xdr:row>92</xdr:row>
      <xdr:rowOff>19050</xdr:rowOff>
    </xdr:from>
    <xdr:to>
      <xdr:col>4</xdr:col>
      <xdr:colOff>47625</xdr:colOff>
      <xdr:row>92</xdr:row>
      <xdr:rowOff>104775</xdr:rowOff>
    </xdr:to>
    <xdr:sp macro="" textlink="">
      <xdr:nvSpPr>
        <xdr:cNvPr id="57" name="Line 56"/>
        <xdr:cNvSpPr>
          <a:spLocks noChangeShapeType="1"/>
        </xdr:cNvSpPr>
      </xdr:nvSpPr>
      <xdr:spPr bwMode="auto">
        <a:xfrm flipV="1">
          <a:off x="2247900" y="16954500"/>
          <a:ext cx="76200" cy="85725"/>
        </a:xfrm>
        <a:prstGeom prst="line">
          <a:avLst/>
        </a:prstGeom>
        <a:noFill/>
        <a:ln w="9525">
          <a:solidFill>
            <a:srgbClr val="000000"/>
          </a:solidFill>
          <a:round/>
          <a:headEnd/>
          <a:tailEnd/>
        </a:ln>
      </xdr:spPr>
    </xdr:sp>
    <xdr:clientData/>
  </xdr:twoCellAnchor>
  <xdr:twoCellAnchor>
    <xdr:from>
      <xdr:col>4</xdr:col>
      <xdr:colOff>552450</xdr:colOff>
      <xdr:row>92</xdr:row>
      <xdr:rowOff>38100</xdr:rowOff>
    </xdr:from>
    <xdr:to>
      <xdr:col>5</xdr:col>
      <xdr:colOff>85725</xdr:colOff>
      <xdr:row>92</xdr:row>
      <xdr:rowOff>133350</xdr:rowOff>
    </xdr:to>
    <xdr:sp macro="" textlink="">
      <xdr:nvSpPr>
        <xdr:cNvPr id="58" name="Line 57"/>
        <xdr:cNvSpPr>
          <a:spLocks noChangeShapeType="1"/>
        </xdr:cNvSpPr>
      </xdr:nvSpPr>
      <xdr:spPr bwMode="auto">
        <a:xfrm>
          <a:off x="2828925" y="16973550"/>
          <a:ext cx="142875" cy="9525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59" name="Line 8"/>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60" name="Line 9"/>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61" name="Line 32"/>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62" name="Line 33"/>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twoCellAnchor>
    <xdr:from>
      <xdr:col>3</xdr:col>
      <xdr:colOff>76200</xdr:colOff>
      <xdr:row>22</xdr:row>
      <xdr:rowOff>28575</xdr:rowOff>
    </xdr:from>
    <xdr:to>
      <xdr:col>3</xdr:col>
      <xdr:colOff>76200</xdr:colOff>
      <xdr:row>22</xdr:row>
      <xdr:rowOff>152400</xdr:rowOff>
    </xdr:to>
    <xdr:sp macro="" textlink="">
      <xdr:nvSpPr>
        <xdr:cNvPr id="63" name="Line 47"/>
        <xdr:cNvSpPr>
          <a:spLocks noChangeShapeType="1"/>
        </xdr:cNvSpPr>
      </xdr:nvSpPr>
      <xdr:spPr bwMode="auto">
        <a:xfrm>
          <a:off x="1743075" y="3619500"/>
          <a:ext cx="0" cy="123825"/>
        </a:xfrm>
        <a:prstGeom prst="line">
          <a:avLst/>
        </a:prstGeom>
        <a:noFill/>
        <a:ln w="9525">
          <a:solidFill>
            <a:srgbClr val="000000"/>
          </a:solidFill>
          <a:round/>
          <a:headEnd/>
          <a:tailEnd/>
        </a:ln>
      </xdr:spPr>
    </xdr:sp>
    <xdr:clientData/>
  </xdr:twoCellAnchor>
  <xdr:twoCellAnchor>
    <xdr:from>
      <xdr:col>3</xdr:col>
      <xdr:colOff>19050</xdr:colOff>
      <xdr:row>22</xdr:row>
      <xdr:rowOff>85725</xdr:rowOff>
    </xdr:from>
    <xdr:to>
      <xdr:col>3</xdr:col>
      <xdr:colOff>142875</xdr:colOff>
      <xdr:row>22</xdr:row>
      <xdr:rowOff>85725</xdr:rowOff>
    </xdr:to>
    <xdr:sp macro="" textlink="">
      <xdr:nvSpPr>
        <xdr:cNvPr id="64" name="Line 48"/>
        <xdr:cNvSpPr>
          <a:spLocks noChangeShapeType="1"/>
        </xdr:cNvSpPr>
      </xdr:nvSpPr>
      <xdr:spPr bwMode="auto">
        <a:xfrm>
          <a:off x="1685925" y="3676650"/>
          <a:ext cx="1238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676275</xdr:colOff>
      <xdr:row>79</xdr:row>
      <xdr:rowOff>28575</xdr:rowOff>
    </xdr:from>
    <xdr:to>
      <xdr:col>4</xdr:col>
      <xdr:colOff>47625</xdr:colOff>
      <xdr:row>79</xdr:row>
      <xdr:rowOff>142875</xdr:rowOff>
    </xdr:to>
    <xdr:sp macro="" textlink="">
      <xdr:nvSpPr>
        <xdr:cNvPr id="2" name="Line 21"/>
        <xdr:cNvSpPr>
          <a:spLocks noChangeShapeType="1"/>
        </xdr:cNvSpPr>
      </xdr:nvSpPr>
      <xdr:spPr bwMode="auto">
        <a:xfrm>
          <a:off x="2057400" y="8267700"/>
          <a:ext cx="400050" cy="0"/>
        </a:xfrm>
        <a:prstGeom prst="line">
          <a:avLst/>
        </a:prstGeom>
        <a:noFill/>
        <a:ln w="9525">
          <a:solidFill>
            <a:srgbClr val="000000"/>
          </a:solidFill>
          <a:round/>
          <a:headEnd/>
          <a:tailEnd/>
        </a:ln>
      </xdr:spPr>
    </xdr:sp>
    <xdr:clientData/>
  </xdr:twoCellAnchor>
  <xdr:twoCellAnchor>
    <xdr:from>
      <xdr:col>3</xdr:col>
      <xdr:colOff>676275</xdr:colOff>
      <xdr:row>79</xdr:row>
      <xdr:rowOff>28575</xdr:rowOff>
    </xdr:from>
    <xdr:to>
      <xdr:col>4</xdr:col>
      <xdr:colOff>47625</xdr:colOff>
      <xdr:row>79</xdr:row>
      <xdr:rowOff>142875</xdr:rowOff>
    </xdr:to>
    <xdr:sp macro="" textlink="">
      <xdr:nvSpPr>
        <xdr:cNvPr id="3" name="Line 22"/>
        <xdr:cNvSpPr>
          <a:spLocks noChangeShapeType="1"/>
        </xdr:cNvSpPr>
      </xdr:nvSpPr>
      <xdr:spPr bwMode="auto">
        <a:xfrm flipV="1">
          <a:off x="2057400" y="8267700"/>
          <a:ext cx="400050" cy="0"/>
        </a:xfrm>
        <a:prstGeom prst="line">
          <a:avLst/>
        </a:prstGeom>
        <a:noFill/>
        <a:ln w="9525">
          <a:solidFill>
            <a:srgbClr val="000000"/>
          </a:solidFill>
          <a:round/>
          <a:headEnd/>
          <a:tailEnd/>
        </a:ln>
      </xdr:spPr>
    </xdr:sp>
    <xdr:clientData/>
  </xdr:twoCellAnchor>
  <xdr:twoCellAnchor>
    <xdr:from>
      <xdr:col>4</xdr:col>
      <xdr:colOff>600075</xdr:colOff>
      <xdr:row>79</xdr:row>
      <xdr:rowOff>28575</xdr:rowOff>
    </xdr:from>
    <xdr:to>
      <xdr:col>5</xdr:col>
      <xdr:colOff>47625</xdr:colOff>
      <xdr:row>79</xdr:row>
      <xdr:rowOff>142875</xdr:rowOff>
    </xdr:to>
    <xdr:sp macro="" textlink="">
      <xdr:nvSpPr>
        <xdr:cNvPr id="4" name="Line 23"/>
        <xdr:cNvSpPr>
          <a:spLocks noChangeShapeType="1"/>
        </xdr:cNvSpPr>
      </xdr:nvSpPr>
      <xdr:spPr bwMode="auto">
        <a:xfrm>
          <a:off x="3009900" y="8267700"/>
          <a:ext cx="209550" cy="0"/>
        </a:xfrm>
        <a:prstGeom prst="line">
          <a:avLst/>
        </a:prstGeom>
        <a:noFill/>
        <a:ln w="9525">
          <a:solidFill>
            <a:srgbClr val="000000"/>
          </a:solidFill>
          <a:round/>
          <a:headEnd/>
          <a:tailEnd/>
        </a:ln>
      </xdr:spPr>
    </xdr:sp>
    <xdr:clientData/>
  </xdr:twoCellAnchor>
  <xdr:twoCellAnchor>
    <xdr:from>
      <xdr:col>4</xdr:col>
      <xdr:colOff>581025</xdr:colOff>
      <xdr:row>79</xdr:row>
      <xdr:rowOff>9525</xdr:rowOff>
    </xdr:from>
    <xdr:to>
      <xdr:col>5</xdr:col>
      <xdr:colOff>38100</xdr:colOff>
      <xdr:row>79</xdr:row>
      <xdr:rowOff>123825</xdr:rowOff>
    </xdr:to>
    <xdr:sp macro="" textlink="">
      <xdr:nvSpPr>
        <xdr:cNvPr id="5" name="Line 24"/>
        <xdr:cNvSpPr>
          <a:spLocks noChangeShapeType="1"/>
        </xdr:cNvSpPr>
      </xdr:nvSpPr>
      <xdr:spPr bwMode="auto">
        <a:xfrm flipV="1">
          <a:off x="2990850" y="8267700"/>
          <a:ext cx="2190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590550</xdr:colOff>
      <xdr:row>22</xdr:row>
      <xdr:rowOff>0</xdr:rowOff>
    </xdr:from>
    <xdr:to>
      <xdr:col>2</xdr:col>
      <xdr:colOff>590550</xdr:colOff>
      <xdr:row>34</xdr:row>
      <xdr:rowOff>9525</xdr:rowOff>
    </xdr:to>
    <xdr:sp macro="" textlink="">
      <xdr:nvSpPr>
        <xdr:cNvPr id="2" name="Line 1"/>
        <xdr:cNvSpPr>
          <a:spLocks noChangeShapeType="1"/>
        </xdr:cNvSpPr>
      </xdr:nvSpPr>
      <xdr:spPr bwMode="auto">
        <a:xfrm flipH="1" flipV="1">
          <a:off x="1695450" y="3590925"/>
          <a:ext cx="0" cy="1952625"/>
        </a:xfrm>
        <a:prstGeom prst="line">
          <a:avLst/>
        </a:prstGeom>
        <a:noFill/>
        <a:ln w="9525">
          <a:solidFill>
            <a:srgbClr val="000000"/>
          </a:solidFill>
          <a:round/>
          <a:headEnd/>
          <a:tailEnd/>
        </a:ln>
      </xdr:spPr>
    </xdr:sp>
    <xdr:clientData/>
  </xdr:twoCellAnchor>
  <xdr:twoCellAnchor>
    <xdr:from>
      <xdr:col>3</xdr:col>
      <xdr:colOff>190500</xdr:colOff>
      <xdr:row>22</xdr:row>
      <xdr:rowOff>9525</xdr:rowOff>
    </xdr:from>
    <xdr:to>
      <xdr:col>3</xdr:col>
      <xdr:colOff>190500</xdr:colOff>
      <xdr:row>34</xdr:row>
      <xdr:rowOff>28575</xdr:rowOff>
    </xdr:to>
    <xdr:sp macro="" textlink="">
      <xdr:nvSpPr>
        <xdr:cNvPr id="3" name="Line 2"/>
        <xdr:cNvSpPr>
          <a:spLocks noChangeShapeType="1"/>
        </xdr:cNvSpPr>
      </xdr:nvSpPr>
      <xdr:spPr bwMode="auto">
        <a:xfrm flipV="1">
          <a:off x="1885950" y="3600450"/>
          <a:ext cx="0" cy="1962150"/>
        </a:xfrm>
        <a:prstGeom prst="line">
          <a:avLst/>
        </a:prstGeom>
        <a:noFill/>
        <a:ln w="9525">
          <a:solidFill>
            <a:srgbClr val="000000"/>
          </a:solidFill>
          <a:round/>
          <a:headEnd/>
          <a:tailEnd/>
        </a:ln>
      </xdr:spPr>
    </xdr:sp>
    <xdr:clientData/>
  </xdr:twoCellAnchor>
  <xdr:twoCellAnchor>
    <xdr:from>
      <xdr:col>5</xdr:col>
      <xdr:colOff>190500</xdr:colOff>
      <xdr:row>22</xdr:row>
      <xdr:rowOff>9525</xdr:rowOff>
    </xdr:from>
    <xdr:to>
      <xdr:col>5</xdr:col>
      <xdr:colOff>190500</xdr:colOff>
      <xdr:row>34</xdr:row>
      <xdr:rowOff>28575</xdr:rowOff>
    </xdr:to>
    <xdr:sp macro="" textlink="">
      <xdr:nvSpPr>
        <xdr:cNvPr id="4" name="Line 3"/>
        <xdr:cNvSpPr>
          <a:spLocks noChangeShapeType="1"/>
        </xdr:cNvSpPr>
      </xdr:nvSpPr>
      <xdr:spPr bwMode="auto">
        <a:xfrm flipV="1">
          <a:off x="3105150" y="3600450"/>
          <a:ext cx="0" cy="1962150"/>
        </a:xfrm>
        <a:prstGeom prst="line">
          <a:avLst/>
        </a:prstGeom>
        <a:noFill/>
        <a:ln w="9525">
          <a:solidFill>
            <a:srgbClr val="000000"/>
          </a:solidFill>
          <a:round/>
          <a:headEnd/>
          <a:tailEnd/>
        </a:ln>
      </xdr:spPr>
    </xdr:sp>
    <xdr:clientData/>
  </xdr:twoCellAnchor>
  <xdr:twoCellAnchor>
    <xdr:from>
      <xdr:col>4</xdr:col>
      <xdr:colOff>590550</xdr:colOff>
      <xdr:row>21</xdr:row>
      <xdr:rowOff>152400</xdr:rowOff>
    </xdr:from>
    <xdr:to>
      <xdr:col>4</xdr:col>
      <xdr:colOff>590550</xdr:colOff>
      <xdr:row>34</xdr:row>
      <xdr:rowOff>0</xdr:rowOff>
    </xdr:to>
    <xdr:sp macro="" textlink="">
      <xdr:nvSpPr>
        <xdr:cNvPr id="5" name="Line 4"/>
        <xdr:cNvSpPr>
          <a:spLocks noChangeShapeType="1"/>
        </xdr:cNvSpPr>
      </xdr:nvSpPr>
      <xdr:spPr bwMode="auto">
        <a:xfrm flipH="1" flipV="1">
          <a:off x="2895600" y="3581400"/>
          <a:ext cx="0" cy="1952625"/>
        </a:xfrm>
        <a:prstGeom prst="line">
          <a:avLst/>
        </a:prstGeom>
        <a:noFill/>
        <a:ln w="9525">
          <a:solidFill>
            <a:srgbClr val="000000"/>
          </a:solidFill>
          <a:round/>
          <a:headEnd/>
          <a:tailEnd/>
        </a:ln>
      </xdr:spPr>
    </xdr:sp>
    <xdr:clientData/>
  </xdr:twoCellAnchor>
  <xdr:twoCellAnchor>
    <xdr:from>
      <xdr:col>16</xdr:col>
      <xdr:colOff>428625</xdr:colOff>
      <xdr:row>33</xdr:row>
      <xdr:rowOff>142875</xdr:rowOff>
    </xdr:from>
    <xdr:to>
      <xdr:col>17</xdr:col>
      <xdr:colOff>209550</xdr:colOff>
      <xdr:row>35</xdr:row>
      <xdr:rowOff>133350</xdr:rowOff>
    </xdr:to>
    <xdr:sp macro="" textlink="">
      <xdr:nvSpPr>
        <xdr:cNvPr id="6" name="Line 5"/>
        <xdr:cNvSpPr>
          <a:spLocks noChangeShapeType="1"/>
        </xdr:cNvSpPr>
      </xdr:nvSpPr>
      <xdr:spPr bwMode="auto">
        <a:xfrm flipV="1">
          <a:off x="10801350" y="5514975"/>
          <a:ext cx="390525" cy="314325"/>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9525</xdr:rowOff>
    </xdr:to>
    <xdr:sp macro="" textlink="">
      <xdr:nvSpPr>
        <xdr:cNvPr id="7" name="Line 6"/>
        <xdr:cNvSpPr>
          <a:spLocks noChangeShapeType="1"/>
        </xdr:cNvSpPr>
      </xdr:nvSpPr>
      <xdr:spPr bwMode="auto">
        <a:xfrm flipV="1">
          <a:off x="4295775" y="5695950"/>
          <a:ext cx="0" cy="9525"/>
        </a:xfrm>
        <a:prstGeom prst="line">
          <a:avLst/>
        </a:prstGeom>
        <a:noFill/>
        <a:ln w="9525">
          <a:solidFill>
            <a:srgbClr val="000000"/>
          </a:solidFill>
          <a:round/>
          <a:headEnd/>
          <a:tailEnd/>
        </a:ln>
      </xdr:spPr>
    </xdr:sp>
    <xdr:clientData/>
  </xdr:twoCellAnchor>
  <xdr:twoCellAnchor>
    <xdr:from>
      <xdr:col>46</xdr:col>
      <xdr:colOff>447675</xdr:colOff>
      <xdr:row>40</xdr:row>
      <xdr:rowOff>0</xdr:rowOff>
    </xdr:from>
    <xdr:to>
      <xdr:col>47</xdr:col>
      <xdr:colOff>238125</xdr:colOff>
      <xdr:row>42</xdr:row>
      <xdr:rowOff>0</xdr:rowOff>
    </xdr:to>
    <xdr:sp macro="" textlink="">
      <xdr:nvSpPr>
        <xdr:cNvPr id="8" name="Line 7"/>
        <xdr:cNvSpPr>
          <a:spLocks noChangeShapeType="1"/>
        </xdr:cNvSpPr>
      </xdr:nvSpPr>
      <xdr:spPr bwMode="auto">
        <a:xfrm flipH="1" flipV="1">
          <a:off x="29108400" y="6553200"/>
          <a:ext cx="400050" cy="323850"/>
        </a:xfrm>
        <a:prstGeom prst="line">
          <a:avLst/>
        </a:prstGeom>
        <a:noFill/>
        <a:ln w="1">
          <a:solidFill>
            <a:srgbClr val="000000"/>
          </a:solidFill>
          <a:round/>
          <a:headEnd/>
          <a:tailEnd/>
        </a:ln>
      </xdr:spPr>
    </xdr:sp>
    <xdr:clientData/>
  </xdr:twoCellAnchor>
  <xdr:twoCellAnchor>
    <xdr:from>
      <xdr:col>2</xdr:col>
      <xdr:colOff>466725</xdr:colOff>
      <xdr:row>21</xdr:row>
      <xdr:rowOff>85725</xdr:rowOff>
    </xdr:from>
    <xdr:to>
      <xdr:col>5</xdr:col>
      <xdr:colOff>285750</xdr:colOff>
      <xdr:row>22</xdr:row>
      <xdr:rowOff>9525</xdr:rowOff>
    </xdr:to>
    <xdr:sp macro="" textlink="">
      <xdr:nvSpPr>
        <xdr:cNvPr id="9" name="Rectangle 8"/>
        <xdr:cNvSpPr>
          <a:spLocks noChangeArrowheads="1"/>
        </xdr:cNvSpPr>
      </xdr:nvSpPr>
      <xdr:spPr bwMode="auto">
        <a:xfrm>
          <a:off x="1600200" y="3514725"/>
          <a:ext cx="1600200" cy="85725"/>
        </a:xfrm>
        <a:prstGeom prst="rect">
          <a:avLst/>
        </a:prstGeom>
        <a:noFill/>
        <a:ln w="9525">
          <a:solidFill>
            <a:srgbClr val="000000"/>
          </a:solidFill>
          <a:miter lim="800000"/>
          <a:headEnd/>
          <a:tailEnd/>
        </a:ln>
      </xdr:spPr>
    </xdr:sp>
    <xdr:clientData/>
  </xdr:twoCellAnchor>
  <xdr:twoCellAnchor>
    <xdr:from>
      <xdr:col>7</xdr:col>
      <xdr:colOff>0</xdr:colOff>
      <xdr:row>30</xdr:row>
      <xdr:rowOff>152400</xdr:rowOff>
    </xdr:from>
    <xdr:to>
      <xdr:col>7</xdr:col>
      <xdr:colOff>0</xdr:colOff>
      <xdr:row>31</xdr:row>
      <xdr:rowOff>0</xdr:rowOff>
    </xdr:to>
    <xdr:sp macro="" textlink="">
      <xdr:nvSpPr>
        <xdr:cNvPr id="10" name="Line 9"/>
        <xdr:cNvSpPr>
          <a:spLocks noChangeShapeType="1"/>
        </xdr:cNvSpPr>
      </xdr:nvSpPr>
      <xdr:spPr bwMode="auto">
        <a:xfrm flipV="1">
          <a:off x="4295775" y="5038725"/>
          <a:ext cx="0" cy="9525"/>
        </a:xfrm>
        <a:prstGeom prst="line">
          <a:avLst/>
        </a:prstGeom>
        <a:noFill/>
        <a:ln w="9525">
          <a:solidFill>
            <a:srgbClr val="000000"/>
          </a:solidFill>
          <a:round/>
          <a:headEnd/>
          <a:tailEnd/>
        </a:ln>
      </xdr:spPr>
    </xdr:sp>
    <xdr:clientData/>
  </xdr:twoCellAnchor>
  <xdr:twoCellAnchor>
    <xdr:from>
      <xdr:col>5</xdr:col>
      <xdr:colOff>200025</xdr:colOff>
      <xdr:row>27</xdr:row>
      <xdr:rowOff>152400</xdr:rowOff>
    </xdr:from>
    <xdr:to>
      <xdr:col>6</xdr:col>
      <xdr:colOff>333375</xdr:colOff>
      <xdr:row>27</xdr:row>
      <xdr:rowOff>152400</xdr:rowOff>
    </xdr:to>
    <xdr:sp macro="" textlink="">
      <xdr:nvSpPr>
        <xdr:cNvPr id="11" name="Line 10"/>
        <xdr:cNvSpPr>
          <a:spLocks noChangeShapeType="1"/>
        </xdr:cNvSpPr>
      </xdr:nvSpPr>
      <xdr:spPr bwMode="auto">
        <a:xfrm>
          <a:off x="3114675" y="4552950"/>
          <a:ext cx="742950" cy="0"/>
        </a:xfrm>
        <a:prstGeom prst="line">
          <a:avLst/>
        </a:prstGeom>
        <a:noFill/>
        <a:ln w="9525">
          <a:solidFill>
            <a:srgbClr val="000000"/>
          </a:solidFill>
          <a:round/>
          <a:headEnd/>
          <a:tailEnd/>
        </a:ln>
      </xdr:spPr>
    </xdr:sp>
    <xdr:clientData/>
  </xdr:twoCellAnchor>
  <xdr:twoCellAnchor>
    <xdr:from>
      <xdr:col>1</xdr:col>
      <xdr:colOff>314325</xdr:colOff>
      <xdr:row>28</xdr:row>
      <xdr:rowOff>0</xdr:rowOff>
    </xdr:from>
    <xdr:to>
      <xdr:col>3</xdr:col>
      <xdr:colOff>9525</xdr:colOff>
      <xdr:row>28</xdr:row>
      <xdr:rowOff>0</xdr:rowOff>
    </xdr:to>
    <xdr:sp macro="" textlink="">
      <xdr:nvSpPr>
        <xdr:cNvPr id="12" name="Line 11"/>
        <xdr:cNvSpPr>
          <a:spLocks noChangeShapeType="1"/>
        </xdr:cNvSpPr>
      </xdr:nvSpPr>
      <xdr:spPr bwMode="auto">
        <a:xfrm>
          <a:off x="819150" y="4562475"/>
          <a:ext cx="885825" cy="0"/>
        </a:xfrm>
        <a:prstGeom prst="line">
          <a:avLst/>
        </a:prstGeom>
        <a:noFill/>
        <a:ln w="9525">
          <a:solidFill>
            <a:srgbClr val="000000"/>
          </a:solidFill>
          <a:round/>
          <a:headEnd/>
          <a:tailEnd/>
        </a:ln>
      </xdr:spPr>
    </xdr:sp>
    <xdr:clientData/>
  </xdr:twoCellAnchor>
  <xdr:twoCellAnchor>
    <xdr:from>
      <xdr:col>2</xdr:col>
      <xdr:colOff>85725</xdr:colOff>
      <xdr:row>34</xdr:row>
      <xdr:rowOff>0</xdr:rowOff>
    </xdr:from>
    <xdr:to>
      <xdr:col>2</xdr:col>
      <xdr:colOff>409575</xdr:colOff>
      <xdr:row>34</xdr:row>
      <xdr:rowOff>0</xdr:rowOff>
    </xdr:to>
    <xdr:sp macro="" textlink="">
      <xdr:nvSpPr>
        <xdr:cNvPr id="13" name="Line 12"/>
        <xdr:cNvSpPr>
          <a:spLocks noChangeShapeType="1"/>
        </xdr:cNvSpPr>
      </xdr:nvSpPr>
      <xdr:spPr bwMode="auto">
        <a:xfrm>
          <a:off x="1219200" y="5534025"/>
          <a:ext cx="323850" cy="0"/>
        </a:xfrm>
        <a:prstGeom prst="line">
          <a:avLst/>
        </a:prstGeom>
        <a:noFill/>
        <a:ln w="9525">
          <a:solidFill>
            <a:srgbClr val="000000"/>
          </a:solidFill>
          <a:round/>
          <a:headEnd/>
          <a:tailEnd/>
        </a:ln>
      </xdr:spPr>
    </xdr:sp>
    <xdr:clientData/>
  </xdr:twoCellAnchor>
  <xdr:twoCellAnchor>
    <xdr:from>
      <xdr:col>3</xdr:col>
      <xdr:colOff>200025</xdr:colOff>
      <xdr:row>28</xdr:row>
      <xdr:rowOff>76200</xdr:rowOff>
    </xdr:from>
    <xdr:to>
      <xdr:col>3</xdr:col>
      <xdr:colOff>209550</xdr:colOff>
      <xdr:row>28</xdr:row>
      <xdr:rowOff>85725</xdr:rowOff>
    </xdr:to>
    <xdr:sp macro="" textlink="">
      <xdr:nvSpPr>
        <xdr:cNvPr id="14" name="Line 13"/>
        <xdr:cNvSpPr>
          <a:spLocks noChangeShapeType="1"/>
        </xdr:cNvSpPr>
      </xdr:nvSpPr>
      <xdr:spPr bwMode="auto">
        <a:xfrm>
          <a:off x="1895475" y="4638675"/>
          <a:ext cx="9525" cy="9525"/>
        </a:xfrm>
        <a:prstGeom prst="line">
          <a:avLst/>
        </a:prstGeom>
        <a:noFill/>
        <a:ln w="9525">
          <a:solidFill>
            <a:srgbClr val="000000"/>
          </a:solidFill>
          <a:round/>
          <a:headEnd/>
          <a:tailEnd/>
        </a:ln>
      </xdr:spPr>
    </xdr:sp>
    <xdr:clientData/>
  </xdr:twoCellAnchor>
  <xdr:twoCellAnchor>
    <xdr:from>
      <xdr:col>3</xdr:col>
      <xdr:colOff>123825</xdr:colOff>
      <xdr:row>28</xdr:row>
      <xdr:rowOff>85725</xdr:rowOff>
    </xdr:from>
    <xdr:to>
      <xdr:col>4</xdr:col>
      <xdr:colOff>28575</xdr:colOff>
      <xdr:row>28</xdr:row>
      <xdr:rowOff>85725</xdr:rowOff>
    </xdr:to>
    <xdr:sp macro="" textlink="">
      <xdr:nvSpPr>
        <xdr:cNvPr id="15" name="Line 14"/>
        <xdr:cNvSpPr>
          <a:spLocks noChangeShapeType="1"/>
        </xdr:cNvSpPr>
      </xdr:nvSpPr>
      <xdr:spPr bwMode="auto">
        <a:xfrm>
          <a:off x="1819275" y="4648200"/>
          <a:ext cx="514350" cy="0"/>
        </a:xfrm>
        <a:prstGeom prst="line">
          <a:avLst/>
        </a:prstGeom>
        <a:noFill/>
        <a:ln w="9525">
          <a:solidFill>
            <a:srgbClr val="000000"/>
          </a:solidFill>
          <a:round/>
          <a:headEnd/>
          <a:tailEnd/>
        </a:ln>
      </xdr:spPr>
    </xdr:sp>
    <xdr:clientData/>
  </xdr:twoCellAnchor>
  <xdr:twoCellAnchor>
    <xdr:from>
      <xdr:col>4</xdr:col>
      <xdr:colOff>295275</xdr:colOff>
      <xdr:row>28</xdr:row>
      <xdr:rowOff>76200</xdr:rowOff>
    </xdr:from>
    <xdr:to>
      <xdr:col>4</xdr:col>
      <xdr:colOff>600075</xdr:colOff>
      <xdr:row>28</xdr:row>
      <xdr:rowOff>76200</xdr:rowOff>
    </xdr:to>
    <xdr:sp macro="" textlink="">
      <xdr:nvSpPr>
        <xdr:cNvPr id="16" name="Line 15"/>
        <xdr:cNvSpPr>
          <a:spLocks noChangeShapeType="1"/>
        </xdr:cNvSpPr>
      </xdr:nvSpPr>
      <xdr:spPr bwMode="auto">
        <a:xfrm flipH="1">
          <a:off x="2600325" y="4638675"/>
          <a:ext cx="304800" cy="0"/>
        </a:xfrm>
        <a:prstGeom prst="line">
          <a:avLst/>
        </a:prstGeom>
        <a:noFill/>
        <a:ln w="9525">
          <a:solidFill>
            <a:srgbClr val="000000"/>
          </a:solidFill>
          <a:round/>
          <a:headEnd/>
          <a:tailEnd/>
        </a:ln>
      </xdr:spPr>
    </xdr:sp>
    <xdr:clientData/>
  </xdr:twoCellAnchor>
  <xdr:twoCellAnchor>
    <xdr:from>
      <xdr:col>2</xdr:col>
      <xdr:colOff>476250</xdr:colOff>
      <xdr:row>21</xdr:row>
      <xdr:rowOff>19050</xdr:rowOff>
    </xdr:from>
    <xdr:to>
      <xdr:col>4</xdr:col>
      <xdr:colOff>0</xdr:colOff>
      <xdr:row>21</xdr:row>
      <xdr:rowOff>19050</xdr:rowOff>
    </xdr:to>
    <xdr:sp macro="" textlink="">
      <xdr:nvSpPr>
        <xdr:cNvPr id="17" name="Line 16"/>
        <xdr:cNvSpPr>
          <a:spLocks noChangeShapeType="1"/>
        </xdr:cNvSpPr>
      </xdr:nvSpPr>
      <xdr:spPr bwMode="auto">
        <a:xfrm>
          <a:off x="1609725" y="3448050"/>
          <a:ext cx="695325" cy="0"/>
        </a:xfrm>
        <a:prstGeom prst="line">
          <a:avLst/>
        </a:prstGeom>
        <a:noFill/>
        <a:ln w="9525">
          <a:solidFill>
            <a:srgbClr val="000000"/>
          </a:solidFill>
          <a:round/>
          <a:headEnd/>
          <a:tailEnd/>
        </a:ln>
      </xdr:spPr>
    </xdr:sp>
    <xdr:clientData/>
  </xdr:twoCellAnchor>
  <xdr:twoCellAnchor>
    <xdr:from>
      <xdr:col>4</xdr:col>
      <xdr:colOff>409575</xdr:colOff>
      <xdr:row>21</xdr:row>
      <xdr:rowOff>19050</xdr:rowOff>
    </xdr:from>
    <xdr:to>
      <xdr:col>5</xdr:col>
      <xdr:colOff>276225</xdr:colOff>
      <xdr:row>21</xdr:row>
      <xdr:rowOff>19050</xdr:rowOff>
    </xdr:to>
    <xdr:sp macro="" textlink="">
      <xdr:nvSpPr>
        <xdr:cNvPr id="18" name="Line 17"/>
        <xdr:cNvSpPr>
          <a:spLocks noChangeShapeType="1"/>
        </xdr:cNvSpPr>
      </xdr:nvSpPr>
      <xdr:spPr bwMode="auto">
        <a:xfrm>
          <a:off x="2714625" y="3448050"/>
          <a:ext cx="476250" cy="0"/>
        </a:xfrm>
        <a:prstGeom prst="line">
          <a:avLst/>
        </a:prstGeom>
        <a:noFill/>
        <a:ln w="9525">
          <a:solidFill>
            <a:srgbClr val="000000"/>
          </a:solidFill>
          <a:round/>
          <a:headEnd/>
          <a:tailEnd/>
        </a:ln>
      </xdr:spPr>
    </xdr:sp>
    <xdr:clientData/>
  </xdr:twoCellAnchor>
  <xdr:twoCellAnchor>
    <xdr:from>
      <xdr:col>5</xdr:col>
      <xdr:colOff>285750</xdr:colOff>
      <xdr:row>20</xdr:row>
      <xdr:rowOff>104775</xdr:rowOff>
    </xdr:from>
    <xdr:to>
      <xdr:col>5</xdr:col>
      <xdr:colOff>285750</xdr:colOff>
      <xdr:row>21</xdr:row>
      <xdr:rowOff>47625</xdr:rowOff>
    </xdr:to>
    <xdr:sp macro="" textlink="">
      <xdr:nvSpPr>
        <xdr:cNvPr id="19" name="Line 18"/>
        <xdr:cNvSpPr>
          <a:spLocks noChangeShapeType="1"/>
        </xdr:cNvSpPr>
      </xdr:nvSpPr>
      <xdr:spPr bwMode="auto">
        <a:xfrm>
          <a:off x="3200400" y="3371850"/>
          <a:ext cx="0" cy="104775"/>
        </a:xfrm>
        <a:prstGeom prst="line">
          <a:avLst/>
        </a:prstGeom>
        <a:noFill/>
        <a:ln w="9525">
          <a:solidFill>
            <a:srgbClr val="000000"/>
          </a:solidFill>
          <a:round/>
          <a:headEnd/>
          <a:tailEnd/>
        </a:ln>
      </xdr:spPr>
    </xdr:sp>
    <xdr:clientData/>
  </xdr:twoCellAnchor>
  <xdr:twoCellAnchor>
    <xdr:from>
      <xdr:col>2</xdr:col>
      <xdr:colOff>466725</xdr:colOff>
      <xdr:row>20</xdr:row>
      <xdr:rowOff>152400</xdr:rowOff>
    </xdr:from>
    <xdr:to>
      <xdr:col>2</xdr:col>
      <xdr:colOff>466725</xdr:colOff>
      <xdr:row>21</xdr:row>
      <xdr:rowOff>76200</xdr:rowOff>
    </xdr:to>
    <xdr:sp macro="" textlink="">
      <xdr:nvSpPr>
        <xdr:cNvPr id="20" name="Line 19"/>
        <xdr:cNvSpPr>
          <a:spLocks noChangeShapeType="1"/>
        </xdr:cNvSpPr>
      </xdr:nvSpPr>
      <xdr:spPr bwMode="auto">
        <a:xfrm>
          <a:off x="1600200" y="3419475"/>
          <a:ext cx="0" cy="85725"/>
        </a:xfrm>
        <a:prstGeom prst="line">
          <a:avLst/>
        </a:prstGeom>
        <a:noFill/>
        <a:ln w="9525">
          <a:solidFill>
            <a:srgbClr val="000000"/>
          </a:solidFill>
          <a:round/>
          <a:headEnd/>
          <a:tailEnd/>
        </a:ln>
      </xdr:spPr>
    </xdr:sp>
    <xdr:clientData/>
  </xdr:twoCellAnchor>
  <xdr:twoCellAnchor>
    <xdr:from>
      <xdr:col>5</xdr:col>
      <xdr:colOff>381000</xdr:colOff>
      <xdr:row>35</xdr:row>
      <xdr:rowOff>28575</xdr:rowOff>
    </xdr:from>
    <xdr:to>
      <xdr:col>5</xdr:col>
      <xdr:colOff>561975</xdr:colOff>
      <xdr:row>35</xdr:row>
      <xdr:rowOff>95250</xdr:rowOff>
    </xdr:to>
    <xdr:sp macro="" textlink="">
      <xdr:nvSpPr>
        <xdr:cNvPr id="21" name="Line 20"/>
        <xdr:cNvSpPr>
          <a:spLocks noChangeShapeType="1"/>
        </xdr:cNvSpPr>
      </xdr:nvSpPr>
      <xdr:spPr bwMode="auto">
        <a:xfrm>
          <a:off x="3295650" y="5724525"/>
          <a:ext cx="180975" cy="66675"/>
        </a:xfrm>
        <a:prstGeom prst="line">
          <a:avLst/>
        </a:prstGeom>
        <a:noFill/>
        <a:ln w="9525">
          <a:solidFill>
            <a:srgbClr val="000000"/>
          </a:solidFill>
          <a:round/>
          <a:headEnd/>
          <a:tailEnd/>
        </a:ln>
      </xdr:spPr>
    </xdr:sp>
    <xdr:clientData/>
  </xdr:twoCellAnchor>
  <xdr:twoCellAnchor>
    <xdr:from>
      <xdr:col>6</xdr:col>
      <xdr:colOff>600075</xdr:colOff>
      <xdr:row>47</xdr:row>
      <xdr:rowOff>0</xdr:rowOff>
    </xdr:from>
    <xdr:to>
      <xdr:col>7</xdr:col>
      <xdr:colOff>0</xdr:colOff>
      <xdr:row>47</xdr:row>
      <xdr:rowOff>0</xdr:rowOff>
    </xdr:to>
    <xdr:sp macro="" textlink="">
      <xdr:nvSpPr>
        <xdr:cNvPr id="22" name="Line 21"/>
        <xdr:cNvSpPr>
          <a:spLocks noChangeShapeType="1"/>
        </xdr:cNvSpPr>
      </xdr:nvSpPr>
      <xdr:spPr bwMode="auto">
        <a:xfrm flipH="1" flipV="1">
          <a:off x="4124325" y="7686675"/>
          <a:ext cx="171450" cy="0"/>
        </a:xfrm>
        <a:prstGeom prst="line">
          <a:avLst/>
        </a:prstGeom>
        <a:noFill/>
        <a:ln w="9525">
          <a:solidFill>
            <a:srgbClr val="000000"/>
          </a:solidFill>
          <a:round/>
          <a:headEnd/>
          <a:tailEnd/>
        </a:ln>
      </xdr:spPr>
    </xdr:sp>
    <xdr:clientData/>
  </xdr:twoCellAnchor>
  <xdr:twoCellAnchor>
    <xdr:from>
      <xdr:col>6</xdr:col>
      <xdr:colOff>600075</xdr:colOff>
      <xdr:row>47</xdr:row>
      <xdr:rowOff>0</xdr:rowOff>
    </xdr:from>
    <xdr:to>
      <xdr:col>7</xdr:col>
      <xdr:colOff>0</xdr:colOff>
      <xdr:row>47</xdr:row>
      <xdr:rowOff>0</xdr:rowOff>
    </xdr:to>
    <xdr:sp macro="" textlink="">
      <xdr:nvSpPr>
        <xdr:cNvPr id="23" name="Line 22"/>
        <xdr:cNvSpPr>
          <a:spLocks noChangeShapeType="1"/>
        </xdr:cNvSpPr>
      </xdr:nvSpPr>
      <xdr:spPr bwMode="auto">
        <a:xfrm flipH="1" flipV="1">
          <a:off x="4124325" y="7686675"/>
          <a:ext cx="171450" cy="0"/>
        </a:xfrm>
        <a:prstGeom prst="line">
          <a:avLst/>
        </a:prstGeom>
        <a:noFill/>
        <a:ln w="9525">
          <a:solidFill>
            <a:srgbClr val="000000"/>
          </a:solidFill>
          <a:round/>
          <a:headEnd/>
          <a:tailEnd/>
        </a:ln>
      </xdr:spPr>
    </xdr:sp>
    <xdr:clientData/>
  </xdr:twoCellAnchor>
  <xdr:twoCellAnchor>
    <xdr:from>
      <xdr:col>6</xdr:col>
      <xdr:colOff>600075</xdr:colOff>
      <xdr:row>47</xdr:row>
      <xdr:rowOff>0</xdr:rowOff>
    </xdr:from>
    <xdr:to>
      <xdr:col>7</xdr:col>
      <xdr:colOff>0</xdr:colOff>
      <xdr:row>47</xdr:row>
      <xdr:rowOff>0</xdr:rowOff>
    </xdr:to>
    <xdr:sp macro="" textlink="">
      <xdr:nvSpPr>
        <xdr:cNvPr id="24" name="Line 23"/>
        <xdr:cNvSpPr>
          <a:spLocks noChangeShapeType="1"/>
        </xdr:cNvSpPr>
      </xdr:nvSpPr>
      <xdr:spPr bwMode="auto">
        <a:xfrm flipH="1" flipV="1">
          <a:off x="4124325" y="7686675"/>
          <a:ext cx="171450" cy="0"/>
        </a:xfrm>
        <a:prstGeom prst="line">
          <a:avLst/>
        </a:prstGeom>
        <a:noFill/>
        <a:ln w="9525">
          <a:solidFill>
            <a:srgbClr val="000000"/>
          </a:solidFill>
          <a:round/>
          <a:headEnd/>
          <a:tailEnd/>
        </a:ln>
      </xdr:spPr>
    </xdr:sp>
    <xdr:clientData/>
  </xdr:twoCellAnchor>
  <xdr:twoCellAnchor>
    <xdr:from>
      <xdr:col>6</xdr:col>
      <xdr:colOff>600075</xdr:colOff>
      <xdr:row>47</xdr:row>
      <xdr:rowOff>0</xdr:rowOff>
    </xdr:from>
    <xdr:to>
      <xdr:col>7</xdr:col>
      <xdr:colOff>0</xdr:colOff>
      <xdr:row>47</xdr:row>
      <xdr:rowOff>0</xdr:rowOff>
    </xdr:to>
    <xdr:sp macro="" textlink="">
      <xdr:nvSpPr>
        <xdr:cNvPr id="25" name="Line 24"/>
        <xdr:cNvSpPr>
          <a:spLocks noChangeShapeType="1"/>
        </xdr:cNvSpPr>
      </xdr:nvSpPr>
      <xdr:spPr bwMode="auto">
        <a:xfrm flipH="1" flipV="1">
          <a:off x="4124325" y="7686675"/>
          <a:ext cx="171450" cy="0"/>
        </a:xfrm>
        <a:prstGeom prst="line">
          <a:avLst/>
        </a:prstGeom>
        <a:noFill/>
        <a:ln w="9525">
          <a:solidFill>
            <a:srgbClr val="000000"/>
          </a:solidFill>
          <a:round/>
          <a:headEnd/>
          <a:tailEnd/>
        </a:ln>
      </xdr:spPr>
    </xdr:sp>
    <xdr:clientData/>
  </xdr:twoCellAnchor>
  <xdr:twoCellAnchor>
    <xdr:from>
      <xdr:col>3</xdr:col>
      <xdr:colOff>152400</xdr:colOff>
      <xdr:row>36</xdr:row>
      <xdr:rowOff>38100</xdr:rowOff>
    </xdr:from>
    <xdr:to>
      <xdr:col>3</xdr:col>
      <xdr:colOff>161925</xdr:colOff>
      <xdr:row>36</xdr:row>
      <xdr:rowOff>38100</xdr:rowOff>
    </xdr:to>
    <xdr:sp macro="" textlink="">
      <xdr:nvSpPr>
        <xdr:cNvPr id="26" name="Oval 25"/>
        <xdr:cNvSpPr>
          <a:spLocks noChangeArrowheads="1"/>
        </xdr:cNvSpPr>
      </xdr:nvSpPr>
      <xdr:spPr bwMode="auto">
        <a:xfrm>
          <a:off x="1847850" y="5895975"/>
          <a:ext cx="9525" cy="0"/>
        </a:xfrm>
        <a:prstGeom prst="ellipse">
          <a:avLst/>
        </a:prstGeom>
        <a:noFill/>
        <a:ln w="9525">
          <a:solidFill>
            <a:srgbClr val="000000"/>
          </a:solidFill>
          <a:round/>
          <a:headEnd/>
          <a:tailEnd/>
        </a:ln>
      </xdr:spPr>
    </xdr:sp>
    <xdr:clientData/>
  </xdr:twoCellAnchor>
  <xdr:twoCellAnchor>
    <xdr:from>
      <xdr:col>3</xdr:col>
      <xdr:colOff>152400</xdr:colOff>
      <xdr:row>36</xdr:row>
      <xdr:rowOff>47625</xdr:rowOff>
    </xdr:from>
    <xdr:to>
      <xdr:col>3</xdr:col>
      <xdr:colOff>171450</xdr:colOff>
      <xdr:row>36</xdr:row>
      <xdr:rowOff>47625</xdr:rowOff>
    </xdr:to>
    <xdr:sp macro="" textlink="">
      <xdr:nvSpPr>
        <xdr:cNvPr id="27" name="Oval 26"/>
        <xdr:cNvSpPr>
          <a:spLocks noChangeArrowheads="1"/>
        </xdr:cNvSpPr>
      </xdr:nvSpPr>
      <xdr:spPr bwMode="auto">
        <a:xfrm>
          <a:off x="1847850" y="5905500"/>
          <a:ext cx="19050" cy="0"/>
        </a:xfrm>
        <a:prstGeom prst="ellipse">
          <a:avLst/>
        </a:prstGeom>
        <a:noFill/>
        <a:ln w="9525">
          <a:solidFill>
            <a:srgbClr val="000000"/>
          </a:solidFill>
          <a:round/>
          <a:headEnd/>
          <a:tailEnd/>
        </a:ln>
      </xdr:spPr>
    </xdr:sp>
    <xdr:clientData/>
  </xdr:twoCellAnchor>
  <xdr:twoCellAnchor>
    <xdr:from>
      <xdr:col>5</xdr:col>
      <xdr:colOff>238125</xdr:colOff>
      <xdr:row>38</xdr:row>
      <xdr:rowOff>85725</xdr:rowOff>
    </xdr:from>
    <xdr:to>
      <xdr:col>5</xdr:col>
      <xdr:colOff>247650</xdr:colOff>
      <xdr:row>38</xdr:row>
      <xdr:rowOff>95250</xdr:rowOff>
    </xdr:to>
    <xdr:sp macro="" textlink="">
      <xdr:nvSpPr>
        <xdr:cNvPr id="28" name="Rectangle 27"/>
        <xdr:cNvSpPr>
          <a:spLocks noChangeArrowheads="1"/>
        </xdr:cNvSpPr>
      </xdr:nvSpPr>
      <xdr:spPr bwMode="auto">
        <a:xfrm>
          <a:off x="3152775" y="6315075"/>
          <a:ext cx="9525" cy="9525"/>
        </a:xfrm>
        <a:prstGeom prst="rect">
          <a:avLst/>
        </a:prstGeom>
        <a:noFill/>
        <a:ln w="9525">
          <a:solidFill>
            <a:srgbClr val="000000"/>
          </a:solidFill>
          <a:miter lim="800000"/>
          <a:headEnd/>
          <a:tailEnd/>
        </a:ln>
      </xdr:spPr>
    </xdr:sp>
    <xdr:clientData/>
  </xdr:twoCellAnchor>
  <xdr:twoCellAnchor>
    <xdr:from>
      <xdr:col>3</xdr:col>
      <xdr:colOff>133350</xdr:colOff>
      <xdr:row>28</xdr:row>
      <xdr:rowOff>28575</xdr:rowOff>
    </xdr:from>
    <xdr:to>
      <xdr:col>3</xdr:col>
      <xdr:colOff>247650</xdr:colOff>
      <xdr:row>28</xdr:row>
      <xdr:rowOff>142875</xdr:rowOff>
    </xdr:to>
    <xdr:sp macro="" textlink="">
      <xdr:nvSpPr>
        <xdr:cNvPr id="29" name="Line 28"/>
        <xdr:cNvSpPr>
          <a:spLocks noChangeShapeType="1"/>
        </xdr:cNvSpPr>
      </xdr:nvSpPr>
      <xdr:spPr bwMode="auto">
        <a:xfrm flipH="1">
          <a:off x="1828800" y="4591050"/>
          <a:ext cx="114300" cy="114300"/>
        </a:xfrm>
        <a:prstGeom prst="line">
          <a:avLst/>
        </a:prstGeom>
        <a:noFill/>
        <a:ln w="9525">
          <a:solidFill>
            <a:srgbClr val="000000"/>
          </a:solidFill>
          <a:round/>
          <a:headEnd/>
          <a:tailEnd/>
        </a:ln>
      </xdr:spPr>
    </xdr:sp>
    <xdr:clientData/>
  </xdr:twoCellAnchor>
  <xdr:twoCellAnchor>
    <xdr:from>
      <xdr:col>4</xdr:col>
      <xdr:colOff>542925</xdr:colOff>
      <xdr:row>28</xdr:row>
      <xdr:rowOff>28575</xdr:rowOff>
    </xdr:from>
    <xdr:to>
      <xdr:col>5</xdr:col>
      <xdr:colOff>28575</xdr:colOff>
      <xdr:row>28</xdr:row>
      <xdr:rowOff>133350</xdr:rowOff>
    </xdr:to>
    <xdr:sp macro="" textlink="">
      <xdr:nvSpPr>
        <xdr:cNvPr id="30" name="Line 29"/>
        <xdr:cNvSpPr>
          <a:spLocks noChangeShapeType="1"/>
        </xdr:cNvSpPr>
      </xdr:nvSpPr>
      <xdr:spPr bwMode="auto">
        <a:xfrm flipH="1">
          <a:off x="2847975" y="4591050"/>
          <a:ext cx="95250" cy="104775"/>
        </a:xfrm>
        <a:prstGeom prst="line">
          <a:avLst/>
        </a:prstGeom>
        <a:noFill/>
        <a:ln w="9525">
          <a:solidFill>
            <a:srgbClr val="000000"/>
          </a:solidFill>
          <a:round/>
          <a:headEnd/>
          <a:tailEnd/>
        </a:ln>
      </xdr:spPr>
    </xdr:sp>
    <xdr:clientData/>
  </xdr:twoCellAnchor>
  <xdr:twoCellAnchor>
    <xdr:from>
      <xdr:col>17</xdr:col>
      <xdr:colOff>9525</xdr:colOff>
      <xdr:row>47</xdr:row>
      <xdr:rowOff>0</xdr:rowOff>
    </xdr:from>
    <xdr:to>
      <xdr:col>17</xdr:col>
      <xdr:colOff>95250</xdr:colOff>
      <xdr:row>47</xdr:row>
      <xdr:rowOff>0</xdr:rowOff>
    </xdr:to>
    <xdr:sp macro="" textlink="">
      <xdr:nvSpPr>
        <xdr:cNvPr id="31" name="Line 30"/>
        <xdr:cNvSpPr>
          <a:spLocks noChangeShapeType="1"/>
        </xdr:cNvSpPr>
      </xdr:nvSpPr>
      <xdr:spPr bwMode="auto">
        <a:xfrm flipV="1">
          <a:off x="10991850" y="7686675"/>
          <a:ext cx="85725" cy="0"/>
        </a:xfrm>
        <a:prstGeom prst="line">
          <a:avLst/>
        </a:prstGeom>
        <a:noFill/>
        <a:ln w="9525">
          <a:solidFill>
            <a:srgbClr val="000000"/>
          </a:solidFill>
          <a:round/>
          <a:headEnd/>
          <a:tailEnd/>
        </a:ln>
      </xdr:spPr>
    </xdr:sp>
    <xdr:clientData/>
  </xdr:twoCellAnchor>
  <xdr:twoCellAnchor>
    <xdr:from>
      <xdr:col>3</xdr:col>
      <xdr:colOff>47625</xdr:colOff>
      <xdr:row>12</xdr:row>
      <xdr:rowOff>19050</xdr:rowOff>
    </xdr:from>
    <xdr:to>
      <xdr:col>3</xdr:col>
      <xdr:colOff>47625</xdr:colOff>
      <xdr:row>21</xdr:row>
      <xdr:rowOff>95250</xdr:rowOff>
    </xdr:to>
    <xdr:sp macro="" textlink="">
      <xdr:nvSpPr>
        <xdr:cNvPr id="32" name="Line 31"/>
        <xdr:cNvSpPr>
          <a:spLocks noChangeShapeType="1"/>
        </xdr:cNvSpPr>
      </xdr:nvSpPr>
      <xdr:spPr bwMode="auto">
        <a:xfrm>
          <a:off x="1743075" y="1990725"/>
          <a:ext cx="0" cy="1533525"/>
        </a:xfrm>
        <a:prstGeom prst="line">
          <a:avLst/>
        </a:prstGeom>
        <a:noFill/>
        <a:ln w="9525">
          <a:solidFill>
            <a:srgbClr val="000000"/>
          </a:solidFill>
          <a:round/>
          <a:headEnd/>
          <a:tailEnd/>
        </a:ln>
      </xdr:spPr>
    </xdr:sp>
    <xdr:clientData/>
  </xdr:twoCellAnchor>
  <xdr:twoCellAnchor>
    <xdr:from>
      <xdr:col>3</xdr:col>
      <xdr:colOff>114300</xdr:colOff>
      <xdr:row>12</xdr:row>
      <xdr:rowOff>9525</xdr:rowOff>
    </xdr:from>
    <xdr:to>
      <xdr:col>3</xdr:col>
      <xdr:colOff>114300</xdr:colOff>
      <xdr:row>21</xdr:row>
      <xdr:rowOff>85725</xdr:rowOff>
    </xdr:to>
    <xdr:sp macro="" textlink="">
      <xdr:nvSpPr>
        <xdr:cNvPr id="33" name="Line 32"/>
        <xdr:cNvSpPr>
          <a:spLocks noChangeShapeType="1"/>
        </xdr:cNvSpPr>
      </xdr:nvSpPr>
      <xdr:spPr bwMode="auto">
        <a:xfrm>
          <a:off x="1809750" y="1981200"/>
          <a:ext cx="0" cy="1533525"/>
        </a:xfrm>
        <a:prstGeom prst="line">
          <a:avLst/>
        </a:prstGeom>
        <a:noFill/>
        <a:ln w="9525">
          <a:solidFill>
            <a:srgbClr val="000000"/>
          </a:solidFill>
          <a:round/>
          <a:headEnd/>
          <a:tailEnd/>
        </a:ln>
      </xdr:spPr>
    </xdr:sp>
    <xdr:clientData/>
  </xdr:twoCellAnchor>
  <xdr:twoCellAnchor>
    <xdr:from>
      <xdr:col>5</xdr:col>
      <xdr:colOff>85725</xdr:colOff>
      <xdr:row>12</xdr:row>
      <xdr:rowOff>9525</xdr:rowOff>
    </xdr:from>
    <xdr:to>
      <xdr:col>5</xdr:col>
      <xdr:colOff>85725</xdr:colOff>
      <xdr:row>21</xdr:row>
      <xdr:rowOff>95250</xdr:rowOff>
    </xdr:to>
    <xdr:sp macro="" textlink="">
      <xdr:nvSpPr>
        <xdr:cNvPr id="34" name="Line 33"/>
        <xdr:cNvSpPr>
          <a:spLocks noChangeShapeType="1"/>
        </xdr:cNvSpPr>
      </xdr:nvSpPr>
      <xdr:spPr bwMode="auto">
        <a:xfrm>
          <a:off x="3000375" y="1981200"/>
          <a:ext cx="0" cy="1543050"/>
        </a:xfrm>
        <a:prstGeom prst="line">
          <a:avLst/>
        </a:prstGeom>
        <a:noFill/>
        <a:ln w="9525">
          <a:solidFill>
            <a:srgbClr val="000000"/>
          </a:solidFill>
          <a:round/>
          <a:headEnd/>
          <a:tailEnd/>
        </a:ln>
      </xdr:spPr>
    </xdr:sp>
    <xdr:clientData/>
  </xdr:twoCellAnchor>
  <xdr:twoCellAnchor>
    <xdr:from>
      <xdr:col>5</xdr:col>
      <xdr:colOff>142875</xdr:colOff>
      <xdr:row>12</xdr:row>
      <xdr:rowOff>19050</xdr:rowOff>
    </xdr:from>
    <xdr:to>
      <xdr:col>5</xdr:col>
      <xdr:colOff>142875</xdr:colOff>
      <xdr:row>21</xdr:row>
      <xdr:rowOff>85725</xdr:rowOff>
    </xdr:to>
    <xdr:sp macro="" textlink="">
      <xdr:nvSpPr>
        <xdr:cNvPr id="35" name="Line 34"/>
        <xdr:cNvSpPr>
          <a:spLocks noChangeShapeType="1"/>
        </xdr:cNvSpPr>
      </xdr:nvSpPr>
      <xdr:spPr bwMode="auto">
        <a:xfrm>
          <a:off x="3057525" y="1990725"/>
          <a:ext cx="0" cy="1524000"/>
        </a:xfrm>
        <a:prstGeom prst="line">
          <a:avLst/>
        </a:prstGeom>
        <a:noFill/>
        <a:ln w="9525">
          <a:solidFill>
            <a:srgbClr val="000000"/>
          </a:solidFill>
          <a:round/>
          <a:headEnd/>
          <a:tailEnd/>
        </a:ln>
      </xdr:spPr>
    </xdr:sp>
    <xdr:clientData/>
  </xdr:twoCellAnchor>
  <xdr:twoCellAnchor>
    <xdr:from>
      <xdr:col>23</xdr:col>
      <xdr:colOff>571500</xdr:colOff>
      <xdr:row>21</xdr:row>
      <xdr:rowOff>114300</xdr:rowOff>
    </xdr:from>
    <xdr:to>
      <xdr:col>24</xdr:col>
      <xdr:colOff>133350</xdr:colOff>
      <xdr:row>21</xdr:row>
      <xdr:rowOff>123825</xdr:rowOff>
    </xdr:to>
    <xdr:sp macro="" textlink="">
      <xdr:nvSpPr>
        <xdr:cNvPr id="36" name="Line 35"/>
        <xdr:cNvSpPr>
          <a:spLocks noChangeShapeType="1"/>
        </xdr:cNvSpPr>
      </xdr:nvSpPr>
      <xdr:spPr bwMode="auto">
        <a:xfrm>
          <a:off x="15211425" y="3543300"/>
          <a:ext cx="171450" cy="9525"/>
        </a:xfrm>
        <a:prstGeom prst="line">
          <a:avLst/>
        </a:prstGeom>
        <a:noFill/>
        <a:ln w="9525">
          <a:solidFill>
            <a:srgbClr val="000000"/>
          </a:solidFill>
          <a:round/>
          <a:headEnd/>
          <a:tailEnd/>
        </a:ln>
      </xdr:spPr>
    </xdr:sp>
    <xdr:clientData/>
  </xdr:twoCellAnchor>
  <xdr:twoCellAnchor>
    <xdr:from>
      <xdr:col>32</xdr:col>
      <xdr:colOff>266700</xdr:colOff>
      <xdr:row>19</xdr:row>
      <xdr:rowOff>123825</xdr:rowOff>
    </xdr:from>
    <xdr:to>
      <xdr:col>33</xdr:col>
      <xdr:colOff>104775</xdr:colOff>
      <xdr:row>20</xdr:row>
      <xdr:rowOff>28575</xdr:rowOff>
    </xdr:to>
    <xdr:sp macro="" textlink="">
      <xdr:nvSpPr>
        <xdr:cNvPr id="37" name="Line 36"/>
        <xdr:cNvSpPr>
          <a:spLocks noChangeShapeType="1"/>
        </xdr:cNvSpPr>
      </xdr:nvSpPr>
      <xdr:spPr bwMode="auto">
        <a:xfrm>
          <a:off x="20393025" y="3228975"/>
          <a:ext cx="447675" cy="66675"/>
        </a:xfrm>
        <a:prstGeom prst="line">
          <a:avLst/>
        </a:prstGeom>
        <a:noFill/>
        <a:ln w="9525">
          <a:solidFill>
            <a:srgbClr val="000000"/>
          </a:solidFill>
          <a:round/>
          <a:headEnd/>
          <a:tailEnd/>
        </a:ln>
      </xdr:spPr>
    </xdr:sp>
    <xdr:clientData/>
  </xdr:twoCellAnchor>
  <xdr:twoCellAnchor>
    <xdr:from>
      <xdr:col>56</xdr:col>
      <xdr:colOff>371475</xdr:colOff>
      <xdr:row>20</xdr:row>
      <xdr:rowOff>95250</xdr:rowOff>
    </xdr:from>
    <xdr:to>
      <xdr:col>57</xdr:col>
      <xdr:colOff>161925</xdr:colOff>
      <xdr:row>21</xdr:row>
      <xdr:rowOff>19050</xdr:rowOff>
    </xdr:to>
    <xdr:sp macro="" textlink="">
      <xdr:nvSpPr>
        <xdr:cNvPr id="38" name="Rectangle 37"/>
        <xdr:cNvSpPr>
          <a:spLocks noChangeArrowheads="1"/>
        </xdr:cNvSpPr>
      </xdr:nvSpPr>
      <xdr:spPr bwMode="auto">
        <a:xfrm>
          <a:off x="35128200" y="3362325"/>
          <a:ext cx="400050" cy="85725"/>
        </a:xfrm>
        <a:prstGeom prst="rect">
          <a:avLst/>
        </a:prstGeom>
        <a:noFill/>
        <a:ln w="9525">
          <a:solidFill>
            <a:srgbClr val="000000"/>
          </a:solidFill>
          <a:miter lim="800000"/>
          <a:headEnd/>
          <a:tailEnd/>
        </a:ln>
      </xdr:spPr>
    </xdr:sp>
    <xdr:clientData/>
  </xdr:twoCellAnchor>
  <xdr:twoCellAnchor>
    <xdr:from>
      <xdr:col>2</xdr:col>
      <xdr:colOff>533400</xdr:colOff>
      <xdr:row>12</xdr:row>
      <xdr:rowOff>0</xdr:rowOff>
    </xdr:from>
    <xdr:to>
      <xdr:col>5</xdr:col>
      <xdr:colOff>180975</xdr:colOff>
      <xdr:row>12</xdr:row>
      <xdr:rowOff>0</xdr:rowOff>
    </xdr:to>
    <xdr:sp macro="" textlink="">
      <xdr:nvSpPr>
        <xdr:cNvPr id="39" name="Line 38"/>
        <xdr:cNvSpPr>
          <a:spLocks noChangeShapeType="1"/>
        </xdr:cNvSpPr>
      </xdr:nvSpPr>
      <xdr:spPr bwMode="auto">
        <a:xfrm>
          <a:off x="1666875" y="1971675"/>
          <a:ext cx="1428750" cy="0"/>
        </a:xfrm>
        <a:prstGeom prst="line">
          <a:avLst/>
        </a:prstGeom>
        <a:noFill/>
        <a:ln w="9525">
          <a:solidFill>
            <a:srgbClr val="000000"/>
          </a:solidFill>
          <a:round/>
          <a:headEnd/>
          <a:tailEnd/>
        </a:ln>
      </xdr:spPr>
    </xdr:sp>
    <xdr:clientData/>
  </xdr:twoCellAnchor>
  <xdr:twoCellAnchor>
    <xdr:from>
      <xdr:col>69</xdr:col>
      <xdr:colOff>219075</xdr:colOff>
      <xdr:row>20</xdr:row>
      <xdr:rowOff>47625</xdr:rowOff>
    </xdr:from>
    <xdr:to>
      <xdr:col>70</xdr:col>
      <xdr:colOff>209550</xdr:colOff>
      <xdr:row>20</xdr:row>
      <xdr:rowOff>66675</xdr:rowOff>
    </xdr:to>
    <xdr:sp macro="" textlink="">
      <xdr:nvSpPr>
        <xdr:cNvPr id="40" name="Line 39"/>
        <xdr:cNvSpPr>
          <a:spLocks noChangeShapeType="1"/>
        </xdr:cNvSpPr>
      </xdr:nvSpPr>
      <xdr:spPr bwMode="auto">
        <a:xfrm>
          <a:off x="42900600" y="3314700"/>
          <a:ext cx="600075" cy="19050"/>
        </a:xfrm>
        <a:prstGeom prst="line">
          <a:avLst/>
        </a:prstGeom>
        <a:noFill/>
        <a:ln w="9525">
          <a:solidFill>
            <a:srgbClr val="000000"/>
          </a:solidFill>
          <a:round/>
          <a:headEnd/>
          <a:tailEnd/>
        </a:ln>
      </xdr:spPr>
    </xdr:sp>
    <xdr:clientData/>
  </xdr:twoCellAnchor>
  <xdr:twoCellAnchor>
    <xdr:from>
      <xdr:col>2</xdr:col>
      <xdr:colOff>552450</xdr:colOff>
      <xdr:row>11</xdr:row>
      <xdr:rowOff>114300</xdr:rowOff>
    </xdr:from>
    <xdr:to>
      <xdr:col>5</xdr:col>
      <xdr:colOff>180975</xdr:colOff>
      <xdr:row>11</xdr:row>
      <xdr:rowOff>114300</xdr:rowOff>
    </xdr:to>
    <xdr:sp macro="" textlink="">
      <xdr:nvSpPr>
        <xdr:cNvPr id="41" name="Line 40"/>
        <xdr:cNvSpPr>
          <a:spLocks noChangeShapeType="1"/>
        </xdr:cNvSpPr>
      </xdr:nvSpPr>
      <xdr:spPr bwMode="auto">
        <a:xfrm>
          <a:off x="1685925" y="1924050"/>
          <a:ext cx="1409700" cy="0"/>
        </a:xfrm>
        <a:prstGeom prst="line">
          <a:avLst/>
        </a:prstGeom>
        <a:noFill/>
        <a:ln w="9525">
          <a:solidFill>
            <a:srgbClr val="000000"/>
          </a:solidFill>
          <a:round/>
          <a:headEnd/>
          <a:tailEnd/>
        </a:ln>
      </xdr:spPr>
    </xdr:sp>
    <xdr:clientData/>
  </xdr:twoCellAnchor>
  <xdr:twoCellAnchor>
    <xdr:from>
      <xdr:col>2</xdr:col>
      <xdr:colOff>542925</xdr:colOff>
      <xdr:row>11</xdr:row>
      <xdr:rowOff>114300</xdr:rowOff>
    </xdr:from>
    <xdr:to>
      <xdr:col>2</xdr:col>
      <xdr:colOff>552450</xdr:colOff>
      <xdr:row>11</xdr:row>
      <xdr:rowOff>152400</xdr:rowOff>
    </xdr:to>
    <xdr:sp macro="" textlink="">
      <xdr:nvSpPr>
        <xdr:cNvPr id="42" name="Line 41"/>
        <xdr:cNvSpPr>
          <a:spLocks noChangeShapeType="1"/>
        </xdr:cNvSpPr>
      </xdr:nvSpPr>
      <xdr:spPr bwMode="auto">
        <a:xfrm>
          <a:off x="1676400" y="1924050"/>
          <a:ext cx="9525" cy="38100"/>
        </a:xfrm>
        <a:prstGeom prst="line">
          <a:avLst/>
        </a:prstGeom>
        <a:noFill/>
        <a:ln w="9525">
          <a:solidFill>
            <a:srgbClr val="000000"/>
          </a:solidFill>
          <a:round/>
          <a:headEnd/>
          <a:tailEnd/>
        </a:ln>
      </xdr:spPr>
    </xdr:sp>
    <xdr:clientData/>
  </xdr:twoCellAnchor>
  <xdr:twoCellAnchor>
    <xdr:from>
      <xdr:col>5</xdr:col>
      <xdr:colOff>180975</xdr:colOff>
      <xdr:row>11</xdr:row>
      <xdr:rowOff>114300</xdr:rowOff>
    </xdr:from>
    <xdr:to>
      <xdr:col>5</xdr:col>
      <xdr:colOff>190500</xdr:colOff>
      <xdr:row>11</xdr:row>
      <xdr:rowOff>152400</xdr:rowOff>
    </xdr:to>
    <xdr:sp macro="" textlink="">
      <xdr:nvSpPr>
        <xdr:cNvPr id="43" name="Line 42"/>
        <xdr:cNvSpPr>
          <a:spLocks noChangeShapeType="1"/>
        </xdr:cNvSpPr>
      </xdr:nvSpPr>
      <xdr:spPr bwMode="auto">
        <a:xfrm>
          <a:off x="3095625" y="1924050"/>
          <a:ext cx="9525" cy="38100"/>
        </a:xfrm>
        <a:prstGeom prst="line">
          <a:avLst/>
        </a:prstGeom>
        <a:noFill/>
        <a:ln w="9525">
          <a:solidFill>
            <a:srgbClr val="000000"/>
          </a:solidFill>
          <a:round/>
          <a:headEnd/>
          <a:tailEnd/>
        </a:ln>
      </xdr:spPr>
    </xdr:sp>
    <xdr:clientData/>
  </xdr:twoCellAnchor>
  <xdr:twoCellAnchor>
    <xdr:from>
      <xdr:col>5</xdr:col>
      <xdr:colOff>180975</xdr:colOff>
      <xdr:row>11</xdr:row>
      <xdr:rowOff>114300</xdr:rowOff>
    </xdr:from>
    <xdr:to>
      <xdr:col>5</xdr:col>
      <xdr:colOff>190500</xdr:colOff>
      <xdr:row>12</xdr:row>
      <xdr:rowOff>9525</xdr:rowOff>
    </xdr:to>
    <xdr:sp macro="" textlink="">
      <xdr:nvSpPr>
        <xdr:cNvPr id="44" name="Line 43"/>
        <xdr:cNvSpPr>
          <a:spLocks noChangeShapeType="1"/>
        </xdr:cNvSpPr>
      </xdr:nvSpPr>
      <xdr:spPr bwMode="auto">
        <a:xfrm>
          <a:off x="3095625" y="1924050"/>
          <a:ext cx="9525" cy="57150"/>
        </a:xfrm>
        <a:prstGeom prst="line">
          <a:avLst/>
        </a:prstGeom>
        <a:noFill/>
        <a:ln w="9525">
          <a:solidFill>
            <a:srgbClr val="000000"/>
          </a:solidFill>
          <a:round/>
          <a:headEnd/>
          <a:tailEnd/>
        </a:ln>
      </xdr:spPr>
    </xdr:sp>
    <xdr:clientData/>
  </xdr:twoCellAnchor>
  <xdr:twoCellAnchor>
    <xdr:from>
      <xdr:col>2</xdr:col>
      <xdr:colOff>466725</xdr:colOff>
      <xdr:row>34</xdr:row>
      <xdr:rowOff>9525</xdr:rowOff>
    </xdr:from>
    <xdr:to>
      <xdr:col>3</xdr:col>
      <xdr:colOff>304800</xdr:colOff>
      <xdr:row>34</xdr:row>
      <xdr:rowOff>152400</xdr:rowOff>
    </xdr:to>
    <xdr:sp macro="" textlink="">
      <xdr:nvSpPr>
        <xdr:cNvPr id="45" name="Rectangle 44"/>
        <xdr:cNvSpPr>
          <a:spLocks noChangeArrowheads="1"/>
        </xdr:cNvSpPr>
      </xdr:nvSpPr>
      <xdr:spPr bwMode="auto">
        <a:xfrm>
          <a:off x="1600200" y="5543550"/>
          <a:ext cx="400050" cy="142875"/>
        </a:xfrm>
        <a:prstGeom prst="rect">
          <a:avLst/>
        </a:prstGeom>
        <a:noFill/>
        <a:ln w="9525">
          <a:solidFill>
            <a:srgbClr val="000000"/>
          </a:solidFill>
          <a:miter lim="800000"/>
          <a:headEnd/>
          <a:tailEnd/>
        </a:ln>
      </xdr:spPr>
    </xdr:sp>
    <xdr:clientData/>
  </xdr:twoCellAnchor>
  <xdr:twoCellAnchor>
    <xdr:from>
      <xdr:col>4</xdr:col>
      <xdr:colOff>495300</xdr:colOff>
      <xdr:row>34</xdr:row>
      <xdr:rowOff>9525</xdr:rowOff>
    </xdr:from>
    <xdr:to>
      <xdr:col>5</xdr:col>
      <xdr:colOff>295275</xdr:colOff>
      <xdr:row>34</xdr:row>
      <xdr:rowOff>152400</xdr:rowOff>
    </xdr:to>
    <xdr:sp macro="" textlink="">
      <xdr:nvSpPr>
        <xdr:cNvPr id="46" name="Rectangle 45"/>
        <xdr:cNvSpPr>
          <a:spLocks noChangeArrowheads="1"/>
        </xdr:cNvSpPr>
      </xdr:nvSpPr>
      <xdr:spPr bwMode="auto">
        <a:xfrm>
          <a:off x="2800350" y="5543550"/>
          <a:ext cx="409575" cy="142875"/>
        </a:xfrm>
        <a:prstGeom prst="rect">
          <a:avLst/>
        </a:prstGeom>
        <a:noFill/>
        <a:ln w="9525">
          <a:solidFill>
            <a:srgbClr val="000000"/>
          </a:solidFill>
          <a:miter lim="800000"/>
          <a:headEnd/>
          <a:tailEnd/>
        </a:ln>
      </xdr:spPr>
    </xdr:sp>
    <xdr:clientData/>
  </xdr:twoCellAnchor>
  <xdr:twoCellAnchor>
    <xdr:from>
      <xdr:col>2</xdr:col>
      <xdr:colOff>95250</xdr:colOff>
      <xdr:row>35</xdr:row>
      <xdr:rowOff>0</xdr:rowOff>
    </xdr:from>
    <xdr:to>
      <xdr:col>2</xdr:col>
      <xdr:colOff>419100</xdr:colOff>
      <xdr:row>35</xdr:row>
      <xdr:rowOff>0</xdr:rowOff>
    </xdr:to>
    <xdr:sp macro="" textlink="">
      <xdr:nvSpPr>
        <xdr:cNvPr id="47" name="Line 46"/>
        <xdr:cNvSpPr>
          <a:spLocks noChangeShapeType="1"/>
        </xdr:cNvSpPr>
      </xdr:nvSpPr>
      <xdr:spPr bwMode="auto">
        <a:xfrm>
          <a:off x="1228725" y="5695950"/>
          <a:ext cx="323850" cy="0"/>
        </a:xfrm>
        <a:prstGeom prst="line">
          <a:avLst/>
        </a:prstGeom>
        <a:noFill/>
        <a:ln w="9525">
          <a:solidFill>
            <a:srgbClr val="000000"/>
          </a:solidFill>
          <a:round/>
          <a:headEnd/>
          <a:tailEnd/>
        </a:ln>
      </xdr:spPr>
    </xdr:sp>
    <xdr:clientData/>
  </xdr:twoCellAnchor>
  <xdr:twoCellAnchor>
    <xdr:from>
      <xdr:col>2</xdr:col>
      <xdr:colOff>180975</xdr:colOff>
      <xdr:row>34</xdr:row>
      <xdr:rowOff>0</xdr:rowOff>
    </xdr:from>
    <xdr:to>
      <xdr:col>2</xdr:col>
      <xdr:colOff>180975</xdr:colOff>
      <xdr:row>35</xdr:row>
      <xdr:rowOff>19050</xdr:rowOff>
    </xdr:to>
    <xdr:sp macro="" textlink="">
      <xdr:nvSpPr>
        <xdr:cNvPr id="48" name="Line 47"/>
        <xdr:cNvSpPr>
          <a:spLocks noChangeShapeType="1"/>
        </xdr:cNvSpPr>
      </xdr:nvSpPr>
      <xdr:spPr bwMode="auto">
        <a:xfrm>
          <a:off x="1314450" y="5534025"/>
          <a:ext cx="0" cy="180975"/>
        </a:xfrm>
        <a:prstGeom prst="line">
          <a:avLst/>
        </a:prstGeom>
        <a:noFill/>
        <a:ln w="9525">
          <a:solidFill>
            <a:srgbClr val="000000"/>
          </a:solidFill>
          <a:round/>
          <a:headEnd/>
          <a:tailEnd/>
        </a:ln>
      </xdr:spPr>
    </xdr:sp>
    <xdr:clientData/>
  </xdr:twoCellAnchor>
  <xdr:twoCellAnchor>
    <xdr:from>
      <xdr:col>37</xdr:col>
      <xdr:colOff>581025</xdr:colOff>
      <xdr:row>35</xdr:row>
      <xdr:rowOff>104775</xdr:rowOff>
    </xdr:from>
    <xdr:to>
      <xdr:col>38</xdr:col>
      <xdr:colOff>76200</xdr:colOff>
      <xdr:row>35</xdr:row>
      <xdr:rowOff>142875</xdr:rowOff>
    </xdr:to>
    <xdr:sp macro="" textlink="">
      <xdr:nvSpPr>
        <xdr:cNvPr id="49" name="Line 48"/>
        <xdr:cNvSpPr>
          <a:spLocks noChangeShapeType="1"/>
        </xdr:cNvSpPr>
      </xdr:nvSpPr>
      <xdr:spPr bwMode="auto">
        <a:xfrm flipV="1">
          <a:off x="23755350" y="5800725"/>
          <a:ext cx="104775" cy="38100"/>
        </a:xfrm>
        <a:prstGeom prst="line">
          <a:avLst/>
        </a:prstGeom>
        <a:noFill/>
        <a:ln w="9525">
          <a:solidFill>
            <a:srgbClr val="000000"/>
          </a:solidFill>
          <a:round/>
          <a:headEnd/>
          <a:tailEnd/>
        </a:ln>
      </xdr:spPr>
    </xdr:sp>
    <xdr:clientData/>
  </xdr:twoCellAnchor>
  <xdr:twoCellAnchor>
    <xdr:from>
      <xdr:col>5</xdr:col>
      <xdr:colOff>228600</xdr:colOff>
      <xdr:row>32</xdr:row>
      <xdr:rowOff>133350</xdr:rowOff>
    </xdr:from>
    <xdr:to>
      <xdr:col>5</xdr:col>
      <xdr:colOff>352425</xdr:colOff>
      <xdr:row>34</xdr:row>
      <xdr:rowOff>9525</xdr:rowOff>
    </xdr:to>
    <xdr:sp macro="" textlink="">
      <xdr:nvSpPr>
        <xdr:cNvPr id="50" name="Line 49"/>
        <xdr:cNvSpPr>
          <a:spLocks noChangeShapeType="1"/>
        </xdr:cNvSpPr>
      </xdr:nvSpPr>
      <xdr:spPr bwMode="auto">
        <a:xfrm flipV="1">
          <a:off x="3143250" y="5343525"/>
          <a:ext cx="123825" cy="200025"/>
        </a:xfrm>
        <a:prstGeom prst="line">
          <a:avLst/>
        </a:prstGeom>
        <a:noFill/>
        <a:ln w="9525">
          <a:solidFill>
            <a:srgbClr val="000000"/>
          </a:solidFill>
          <a:round/>
          <a:headEnd/>
          <a:tailEnd/>
        </a:ln>
      </xdr:spPr>
    </xdr:sp>
    <xdr:clientData/>
  </xdr:twoCellAnchor>
  <xdr:twoCellAnchor>
    <xdr:from>
      <xdr:col>2</xdr:col>
      <xdr:colOff>400050</xdr:colOff>
      <xdr:row>35</xdr:row>
      <xdr:rowOff>0</xdr:rowOff>
    </xdr:from>
    <xdr:to>
      <xdr:col>5</xdr:col>
      <xdr:colOff>323850</xdr:colOff>
      <xdr:row>35</xdr:row>
      <xdr:rowOff>95250</xdr:rowOff>
    </xdr:to>
    <xdr:sp macro="" textlink="">
      <xdr:nvSpPr>
        <xdr:cNvPr id="51" name="Rectangle 50"/>
        <xdr:cNvSpPr>
          <a:spLocks noChangeArrowheads="1"/>
        </xdr:cNvSpPr>
      </xdr:nvSpPr>
      <xdr:spPr bwMode="auto">
        <a:xfrm>
          <a:off x="1533525" y="5695950"/>
          <a:ext cx="1704975" cy="95250"/>
        </a:xfrm>
        <a:prstGeom prst="rect">
          <a:avLst/>
        </a:prstGeom>
        <a:noFill/>
        <a:ln w="9525">
          <a:solidFill>
            <a:srgbClr val="000000"/>
          </a:solidFill>
          <a:miter lim="800000"/>
          <a:headEnd/>
          <a:tailEnd/>
        </a:ln>
      </xdr:spPr>
    </xdr:sp>
    <xdr:clientData/>
  </xdr:twoCellAnchor>
  <xdr:twoCellAnchor>
    <xdr:from>
      <xdr:col>38</xdr:col>
      <xdr:colOff>9525</xdr:colOff>
      <xdr:row>47</xdr:row>
      <xdr:rowOff>0</xdr:rowOff>
    </xdr:from>
    <xdr:to>
      <xdr:col>38</xdr:col>
      <xdr:colOff>47625</xdr:colOff>
      <xdr:row>47</xdr:row>
      <xdr:rowOff>0</xdr:rowOff>
    </xdr:to>
    <xdr:sp macro="" textlink="">
      <xdr:nvSpPr>
        <xdr:cNvPr id="52" name="Rectangle 51"/>
        <xdr:cNvSpPr>
          <a:spLocks noChangeArrowheads="1"/>
        </xdr:cNvSpPr>
      </xdr:nvSpPr>
      <xdr:spPr bwMode="auto">
        <a:xfrm>
          <a:off x="23793450" y="7686675"/>
          <a:ext cx="38100" cy="0"/>
        </a:xfrm>
        <a:prstGeom prst="rect">
          <a:avLst/>
        </a:prstGeom>
        <a:noFill/>
        <a:ln w="9525">
          <a:solidFill>
            <a:srgbClr val="000000"/>
          </a:solidFill>
          <a:miter lim="800000"/>
          <a:headEnd/>
          <a:tailEnd/>
        </a:ln>
      </xdr:spPr>
    </xdr:sp>
    <xdr:clientData/>
  </xdr:twoCellAnchor>
  <xdr:twoCellAnchor>
    <xdr:from>
      <xdr:col>2</xdr:col>
      <xdr:colOff>400050</xdr:colOff>
      <xdr:row>35</xdr:row>
      <xdr:rowOff>104775</xdr:rowOff>
    </xdr:from>
    <xdr:to>
      <xdr:col>5</xdr:col>
      <xdr:colOff>323850</xdr:colOff>
      <xdr:row>36</xdr:row>
      <xdr:rowOff>9525</xdr:rowOff>
    </xdr:to>
    <xdr:sp macro="" textlink="">
      <xdr:nvSpPr>
        <xdr:cNvPr id="53" name="Rectangle 52"/>
        <xdr:cNvSpPr>
          <a:spLocks noChangeArrowheads="1"/>
        </xdr:cNvSpPr>
      </xdr:nvSpPr>
      <xdr:spPr bwMode="auto">
        <a:xfrm>
          <a:off x="1533525" y="5800725"/>
          <a:ext cx="1704975" cy="66675"/>
        </a:xfrm>
        <a:prstGeom prst="rect">
          <a:avLst/>
        </a:prstGeom>
        <a:noFill/>
        <a:ln w="9525">
          <a:solidFill>
            <a:srgbClr val="000000"/>
          </a:solidFill>
          <a:miter lim="800000"/>
          <a:headEnd/>
          <a:tailEnd/>
        </a:ln>
      </xdr:spPr>
    </xdr:sp>
    <xdr:clientData/>
  </xdr:twoCellAnchor>
  <xdr:twoCellAnchor>
    <xdr:from>
      <xdr:col>5</xdr:col>
      <xdr:colOff>361950</xdr:colOff>
      <xdr:row>35</xdr:row>
      <xdr:rowOff>152400</xdr:rowOff>
    </xdr:from>
    <xdr:to>
      <xdr:col>5</xdr:col>
      <xdr:colOff>581025</xdr:colOff>
      <xdr:row>36</xdr:row>
      <xdr:rowOff>66675</xdr:rowOff>
    </xdr:to>
    <xdr:sp macro="" textlink="">
      <xdr:nvSpPr>
        <xdr:cNvPr id="54" name="Line 53"/>
        <xdr:cNvSpPr>
          <a:spLocks noChangeShapeType="1"/>
        </xdr:cNvSpPr>
      </xdr:nvSpPr>
      <xdr:spPr bwMode="auto">
        <a:xfrm>
          <a:off x="3276600" y="5848350"/>
          <a:ext cx="219075" cy="76200"/>
        </a:xfrm>
        <a:prstGeom prst="line">
          <a:avLst/>
        </a:prstGeom>
        <a:noFill/>
        <a:ln w="9525">
          <a:solidFill>
            <a:srgbClr val="000000"/>
          </a:solidFill>
          <a:round/>
          <a:headEnd/>
          <a:tailEnd/>
        </a:ln>
      </xdr:spPr>
    </xdr:sp>
    <xdr:clientData/>
  </xdr:twoCellAnchor>
  <xdr:twoCellAnchor>
    <xdr:from>
      <xdr:col>2</xdr:col>
      <xdr:colOff>400050</xdr:colOff>
      <xdr:row>36</xdr:row>
      <xdr:rowOff>9525</xdr:rowOff>
    </xdr:from>
    <xdr:to>
      <xdr:col>5</xdr:col>
      <xdr:colOff>323850</xdr:colOff>
      <xdr:row>36</xdr:row>
      <xdr:rowOff>57150</xdr:rowOff>
    </xdr:to>
    <xdr:sp macro="" textlink="">
      <xdr:nvSpPr>
        <xdr:cNvPr id="55" name="Rectangle 54"/>
        <xdr:cNvSpPr>
          <a:spLocks noChangeArrowheads="1"/>
        </xdr:cNvSpPr>
      </xdr:nvSpPr>
      <xdr:spPr bwMode="auto">
        <a:xfrm>
          <a:off x="1533525" y="5867400"/>
          <a:ext cx="1704975" cy="47625"/>
        </a:xfrm>
        <a:prstGeom prst="rect">
          <a:avLst/>
        </a:prstGeom>
        <a:noFill/>
        <a:ln w="9525">
          <a:solidFill>
            <a:srgbClr val="000000"/>
          </a:solidFill>
          <a:miter lim="800000"/>
          <a:headEnd/>
          <a:tailEnd/>
        </a:ln>
      </xdr:spPr>
    </xdr:sp>
    <xdr:clientData/>
  </xdr:twoCellAnchor>
  <xdr:twoCellAnchor>
    <xdr:from>
      <xdr:col>5</xdr:col>
      <xdr:colOff>333375</xdr:colOff>
      <xdr:row>36</xdr:row>
      <xdr:rowOff>47625</xdr:rowOff>
    </xdr:from>
    <xdr:to>
      <xdr:col>5</xdr:col>
      <xdr:colOff>590550</xdr:colOff>
      <xdr:row>37</xdr:row>
      <xdr:rowOff>47625</xdr:rowOff>
    </xdr:to>
    <xdr:sp macro="" textlink="">
      <xdr:nvSpPr>
        <xdr:cNvPr id="56" name="Line 55"/>
        <xdr:cNvSpPr>
          <a:spLocks noChangeShapeType="1"/>
        </xdr:cNvSpPr>
      </xdr:nvSpPr>
      <xdr:spPr bwMode="auto">
        <a:xfrm>
          <a:off x="3248025" y="5905500"/>
          <a:ext cx="257175" cy="209550"/>
        </a:xfrm>
        <a:prstGeom prst="line">
          <a:avLst/>
        </a:prstGeom>
        <a:noFill/>
        <a:ln w="9525">
          <a:solidFill>
            <a:srgbClr val="000000"/>
          </a:solidFill>
          <a:round/>
          <a:headEnd/>
          <a:tailEnd/>
        </a:ln>
      </xdr:spPr>
    </xdr:sp>
    <xdr:clientData/>
  </xdr:twoCellAnchor>
  <xdr:twoCellAnchor>
    <xdr:from>
      <xdr:col>2</xdr:col>
      <xdr:colOff>495300</xdr:colOff>
      <xdr:row>12</xdr:row>
      <xdr:rowOff>9525</xdr:rowOff>
    </xdr:from>
    <xdr:to>
      <xdr:col>2</xdr:col>
      <xdr:colOff>495300</xdr:colOff>
      <xdr:row>14</xdr:row>
      <xdr:rowOff>0</xdr:rowOff>
    </xdr:to>
    <xdr:sp macro="" textlink="">
      <xdr:nvSpPr>
        <xdr:cNvPr id="57" name="Line 56"/>
        <xdr:cNvSpPr>
          <a:spLocks noChangeShapeType="1"/>
        </xdr:cNvSpPr>
      </xdr:nvSpPr>
      <xdr:spPr bwMode="auto">
        <a:xfrm flipV="1">
          <a:off x="1628775" y="1981200"/>
          <a:ext cx="0" cy="314325"/>
        </a:xfrm>
        <a:prstGeom prst="line">
          <a:avLst/>
        </a:prstGeom>
        <a:noFill/>
        <a:ln w="9525">
          <a:solidFill>
            <a:srgbClr val="000000"/>
          </a:solidFill>
          <a:round/>
          <a:headEnd/>
          <a:tailEnd type="triangle" w="med" len="med"/>
        </a:ln>
      </xdr:spPr>
    </xdr:sp>
    <xdr:clientData/>
  </xdr:twoCellAnchor>
  <xdr:twoCellAnchor>
    <xdr:from>
      <xdr:col>2</xdr:col>
      <xdr:colOff>485775</xdr:colOff>
      <xdr:row>14</xdr:row>
      <xdr:rowOff>133350</xdr:rowOff>
    </xdr:from>
    <xdr:to>
      <xdr:col>2</xdr:col>
      <xdr:colOff>485775</xdr:colOff>
      <xdr:row>20</xdr:row>
      <xdr:rowOff>123825</xdr:rowOff>
    </xdr:to>
    <xdr:sp macro="" textlink="">
      <xdr:nvSpPr>
        <xdr:cNvPr id="58" name="Line 57"/>
        <xdr:cNvSpPr>
          <a:spLocks noChangeShapeType="1"/>
        </xdr:cNvSpPr>
      </xdr:nvSpPr>
      <xdr:spPr bwMode="auto">
        <a:xfrm>
          <a:off x="1619250" y="2428875"/>
          <a:ext cx="0" cy="962025"/>
        </a:xfrm>
        <a:prstGeom prst="line">
          <a:avLst/>
        </a:prstGeom>
        <a:noFill/>
        <a:ln w="9525">
          <a:solidFill>
            <a:srgbClr val="000000"/>
          </a:solidFill>
          <a:round/>
          <a:headEnd/>
          <a:tailEnd type="triangle" w="med" len="med"/>
        </a:ln>
      </xdr:spPr>
    </xdr:sp>
    <xdr:clientData/>
  </xdr:twoCellAnchor>
  <xdr:twoCellAnchor>
    <xdr:from>
      <xdr:col>2</xdr:col>
      <xdr:colOff>447675</xdr:colOff>
      <xdr:row>22</xdr:row>
      <xdr:rowOff>47625</xdr:rowOff>
    </xdr:from>
    <xdr:to>
      <xdr:col>2</xdr:col>
      <xdr:colOff>447675</xdr:colOff>
      <xdr:row>24</xdr:row>
      <xdr:rowOff>47625</xdr:rowOff>
    </xdr:to>
    <xdr:sp macro="" textlink="">
      <xdr:nvSpPr>
        <xdr:cNvPr id="59" name="Line 58"/>
        <xdr:cNvSpPr>
          <a:spLocks noChangeShapeType="1"/>
        </xdr:cNvSpPr>
      </xdr:nvSpPr>
      <xdr:spPr bwMode="auto">
        <a:xfrm flipV="1">
          <a:off x="1581150" y="3638550"/>
          <a:ext cx="0" cy="323850"/>
        </a:xfrm>
        <a:prstGeom prst="line">
          <a:avLst/>
        </a:prstGeom>
        <a:noFill/>
        <a:ln w="9525">
          <a:solidFill>
            <a:srgbClr val="000000"/>
          </a:solidFill>
          <a:round/>
          <a:headEnd/>
          <a:tailEnd type="triangle" w="med" len="med"/>
        </a:ln>
      </xdr:spPr>
    </xdr:sp>
    <xdr:clientData/>
  </xdr:twoCellAnchor>
  <xdr:twoCellAnchor>
    <xdr:from>
      <xdr:col>2</xdr:col>
      <xdr:colOff>457200</xdr:colOff>
      <xdr:row>25</xdr:row>
      <xdr:rowOff>9525</xdr:rowOff>
    </xdr:from>
    <xdr:to>
      <xdr:col>2</xdr:col>
      <xdr:colOff>457200</xdr:colOff>
      <xdr:row>27</xdr:row>
      <xdr:rowOff>142875</xdr:rowOff>
    </xdr:to>
    <xdr:sp macro="" textlink="">
      <xdr:nvSpPr>
        <xdr:cNvPr id="60" name="Line 59"/>
        <xdr:cNvSpPr>
          <a:spLocks noChangeShapeType="1"/>
        </xdr:cNvSpPr>
      </xdr:nvSpPr>
      <xdr:spPr bwMode="auto">
        <a:xfrm>
          <a:off x="1590675" y="4086225"/>
          <a:ext cx="0" cy="457200"/>
        </a:xfrm>
        <a:prstGeom prst="line">
          <a:avLst/>
        </a:prstGeom>
        <a:noFill/>
        <a:ln w="9525">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590550</xdr:colOff>
      <xdr:row>22</xdr:row>
      <xdr:rowOff>0</xdr:rowOff>
    </xdr:from>
    <xdr:to>
      <xdr:col>2</xdr:col>
      <xdr:colOff>590550</xdr:colOff>
      <xdr:row>34</xdr:row>
      <xdr:rowOff>9525</xdr:rowOff>
    </xdr:to>
    <xdr:sp macro="" textlink="">
      <xdr:nvSpPr>
        <xdr:cNvPr id="2" name="Line 1"/>
        <xdr:cNvSpPr>
          <a:spLocks noChangeShapeType="1"/>
        </xdr:cNvSpPr>
      </xdr:nvSpPr>
      <xdr:spPr bwMode="auto">
        <a:xfrm flipH="1" flipV="1">
          <a:off x="1733550" y="3600450"/>
          <a:ext cx="0" cy="1952625"/>
        </a:xfrm>
        <a:prstGeom prst="line">
          <a:avLst/>
        </a:prstGeom>
        <a:noFill/>
        <a:ln w="9525">
          <a:solidFill>
            <a:srgbClr val="000000"/>
          </a:solidFill>
          <a:round/>
          <a:headEnd/>
          <a:tailEnd/>
        </a:ln>
      </xdr:spPr>
    </xdr:sp>
    <xdr:clientData/>
  </xdr:twoCellAnchor>
  <xdr:twoCellAnchor>
    <xdr:from>
      <xdr:col>3</xdr:col>
      <xdr:colOff>190500</xdr:colOff>
      <xdr:row>22</xdr:row>
      <xdr:rowOff>9525</xdr:rowOff>
    </xdr:from>
    <xdr:to>
      <xdr:col>3</xdr:col>
      <xdr:colOff>190500</xdr:colOff>
      <xdr:row>34</xdr:row>
      <xdr:rowOff>28575</xdr:rowOff>
    </xdr:to>
    <xdr:sp macro="" textlink="">
      <xdr:nvSpPr>
        <xdr:cNvPr id="3" name="Line 2"/>
        <xdr:cNvSpPr>
          <a:spLocks noChangeShapeType="1"/>
        </xdr:cNvSpPr>
      </xdr:nvSpPr>
      <xdr:spPr bwMode="auto">
        <a:xfrm flipV="1">
          <a:off x="1943100" y="3609975"/>
          <a:ext cx="0" cy="1962150"/>
        </a:xfrm>
        <a:prstGeom prst="line">
          <a:avLst/>
        </a:prstGeom>
        <a:noFill/>
        <a:ln w="9525">
          <a:solidFill>
            <a:srgbClr val="000000"/>
          </a:solidFill>
          <a:round/>
          <a:headEnd/>
          <a:tailEnd/>
        </a:ln>
      </xdr:spPr>
    </xdr:sp>
    <xdr:clientData/>
  </xdr:twoCellAnchor>
  <xdr:twoCellAnchor>
    <xdr:from>
      <xdr:col>5</xdr:col>
      <xdr:colOff>190500</xdr:colOff>
      <xdr:row>22</xdr:row>
      <xdr:rowOff>9525</xdr:rowOff>
    </xdr:from>
    <xdr:to>
      <xdr:col>5</xdr:col>
      <xdr:colOff>190500</xdr:colOff>
      <xdr:row>34</xdr:row>
      <xdr:rowOff>28575</xdr:rowOff>
    </xdr:to>
    <xdr:sp macro="" textlink="">
      <xdr:nvSpPr>
        <xdr:cNvPr id="4" name="Line 3"/>
        <xdr:cNvSpPr>
          <a:spLocks noChangeShapeType="1"/>
        </xdr:cNvSpPr>
      </xdr:nvSpPr>
      <xdr:spPr bwMode="auto">
        <a:xfrm flipV="1">
          <a:off x="3162300" y="3609975"/>
          <a:ext cx="0" cy="1962150"/>
        </a:xfrm>
        <a:prstGeom prst="line">
          <a:avLst/>
        </a:prstGeom>
        <a:noFill/>
        <a:ln w="9525">
          <a:solidFill>
            <a:srgbClr val="000000"/>
          </a:solidFill>
          <a:round/>
          <a:headEnd/>
          <a:tailEnd/>
        </a:ln>
      </xdr:spPr>
    </xdr:sp>
    <xdr:clientData/>
  </xdr:twoCellAnchor>
  <xdr:twoCellAnchor>
    <xdr:from>
      <xdr:col>4</xdr:col>
      <xdr:colOff>590550</xdr:colOff>
      <xdr:row>21</xdr:row>
      <xdr:rowOff>152400</xdr:rowOff>
    </xdr:from>
    <xdr:to>
      <xdr:col>4</xdr:col>
      <xdr:colOff>590550</xdr:colOff>
      <xdr:row>34</xdr:row>
      <xdr:rowOff>0</xdr:rowOff>
    </xdr:to>
    <xdr:sp macro="" textlink="">
      <xdr:nvSpPr>
        <xdr:cNvPr id="5" name="Line 4"/>
        <xdr:cNvSpPr>
          <a:spLocks noChangeShapeType="1"/>
        </xdr:cNvSpPr>
      </xdr:nvSpPr>
      <xdr:spPr bwMode="auto">
        <a:xfrm flipH="1" flipV="1">
          <a:off x="2952750" y="3590925"/>
          <a:ext cx="0" cy="1952625"/>
        </a:xfrm>
        <a:prstGeom prst="line">
          <a:avLst/>
        </a:prstGeom>
        <a:noFill/>
        <a:ln w="9525">
          <a:solidFill>
            <a:srgbClr val="000000"/>
          </a:solidFill>
          <a:round/>
          <a:headEnd/>
          <a:tailEnd/>
        </a:ln>
      </xdr:spPr>
    </xdr:sp>
    <xdr:clientData/>
  </xdr:twoCellAnchor>
  <xdr:twoCellAnchor>
    <xdr:from>
      <xdr:col>16</xdr:col>
      <xdr:colOff>428625</xdr:colOff>
      <xdr:row>33</xdr:row>
      <xdr:rowOff>142875</xdr:rowOff>
    </xdr:from>
    <xdr:to>
      <xdr:col>17</xdr:col>
      <xdr:colOff>209550</xdr:colOff>
      <xdr:row>35</xdr:row>
      <xdr:rowOff>133350</xdr:rowOff>
    </xdr:to>
    <xdr:sp macro="" textlink="">
      <xdr:nvSpPr>
        <xdr:cNvPr id="6" name="Line 5"/>
        <xdr:cNvSpPr>
          <a:spLocks noChangeShapeType="1"/>
        </xdr:cNvSpPr>
      </xdr:nvSpPr>
      <xdr:spPr bwMode="auto">
        <a:xfrm flipV="1">
          <a:off x="11268075" y="5524500"/>
          <a:ext cx="390525" cy="314325"/>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9525</xdr:rowOff>
    </xdr:to>
    <xdr:sp macro="" textlink="">
      <xdr:nvSpPr>
        <xdr:cNvPr id="7" name="Line 6"/>
        <xdr:cNvSpPr>
          <a:spLocks noChangeShapeType="1"/>
        </xdr:cNvSpPr>
      </xdr:nvSpPr>
      <xdr:spPr bwMode="auto">
        <a:xfrm flipV="1">
          <a:off x="4391025" y="5705475"/>
          <a:ext cx="0" cy="9525"/>
        </a:xfrm>
        <a:prstGeom prst="line">
          <a:avLst/>
        </a:prstGeom>
        <a:noFill/>
        <a:ln w="9525">
          <a:solidFill>
            <a:srgbClr val="000000"/>
          </a:solidFill>
          <a:round/>
          <a:headEnd/>
          <a:tailEnd/>
        </a:ln>
      </xdr:spPr>
    </xdr:sp>
    <xdr:clientData/>
  </xdr:twoCellAnchor>
  <xdr:twoCellAnchor>
    <xdr:from>
      <xdr:col>46</xdr:col>
      <xdr:colOff>447675</xdr:colOff>
      <xdr:row>40</xdr:row>
      <xdr:rowOff>0</xdr:rowOff>
    </xdr:from>
    <xdr:to>
      <xdr:col>47</xdr:col>
      <xdr:colOff>238125</xdr:colOff>
      <xdr:row>42</xdr:row>
      <xdr:rowOff>0</xdr:rowOff>
    </xdr:to>
    <xdr:sp macro="" textlink="">
      <xdr:nvSpPr>
        <xdr:cNvPr id="8" name="Line 7"/>
        <xdr:cNvSpPr>
          <a:spLocks noChangeShapeType="1"/>
        </xdr:cNvSpPr>
      </xdr:nvSpPr>
      <xdr:spPr bwMode="auto">
        <a:xfrm flipH="1" flipV="1">
          <a:off x="29575125" y="6515100"/>
          <a:ext cx="400050" cy="323850"/>
        </a:xfrm>
        <a:prstGeom prst="line">
          <a:avLst/>
        </a:prstGeom>
        <a:noFill/>
        <a:ln w="1">
          <a:solidFill>
            <a:srgbClr val="000000"/>
          </a:solidFill>
          <a:round/>
          <a:headEnd/>
          <a:tailEnd/>
        </a:ln>
      </xdr:spPr>
    </xdr:sp>
    <xdr:clientData/>
  </xdr:twoCellAnchor>
  <xdr:twoCellAnchor>
    <xdr:from>
      <xdr:col>2</xdr:col>
      <xdr:colOff>466725</xdr:colOff>
      <xdr:row>21</xdr:row>
      <xdr:rowOff>85725</xdr:rowOff>
    </xdr:from>
    <xdr:to>
      <xdr:col>5</xdr:col>
      <xdr:colOff>285750</xdr:colOff>
      <xdr:row>22</xdr:row>
      <xdr:rowOff>9525</xdr:rowOff>
    </xdr:to>
    <xdr:sp macro="" textlink="">
      <xdr:nvSpPr>
        <xdr:cNvPr id="9" name="Rectangle 8"/>
        <xdr:cNvSpPr>
          <a:spLocks noChangeArrowheads="1"/>
        </xdr:cNvSpPr>
      </xdr:nvSpPr>
      <xdr:spPr bwMode="auto">
        <a:xfrm>
          <a:off x="1609725" y="3524250"/>
          <a:ext cx="1647825" cy="85725"/>
        </a:xfrm>
        <a:prstGeom prst="rect">
          <a:avLst/>
        </a:prstGeom>
        <a:noFill/>
        <a:ln w="9525">
          <a:solidFill>
            <a:srgbClr val="000000"/>
          </a:solidFill>
          <a:miter lim="800000"/>
          <a:headEnd/>
          <a:tailEnd/>
        </a:ln>
      </xdr:spPr>
    </xdr:sp>
    <xdr:clientData/>
  </xdr:twoCellAnchor>
  <xdr:twoCellAnchor>
    <xdr:from>
      <xdr:col>7</xdr:col>
      <xdr:colOff>0</xdr:colOff>
      <xdr:row>30</xdr:row>
      <xdr:rowOff>152400</xdr:rowOff>
    </xdr:from>
    <xdr:to>
      <xdr:col>7</xdr:col>
      <xdr:colOff>0</xdr:colOff>
      <xdr:row>31</xdr:row>
      <xdr:rowOff>0</xdr:rowOff>
    </xdr:to>
    <xdr:sp macro="" textlink="">
      <xdr:nvSpPr>
        <xdr:cNvPr id="10" name="Line 9"/>
        <xdr:cNvSpPr>
          <a:spLocks noChangeShapeType="1"/>
        </xdr:cNvSpPr>
      </xdr:nvSpPr>
      <xdr:spPr bwMode="auto">
        <a:xfrm flipV="1">
          <a:off x="4391025" y="5048250"/>
          <a:ext cx="0" cy="9525"/>
        </a:xfrm>
        <a:prstGeom prst="line">
          <a:avLst/>
        </a:prstGeom>
        <a:noFill/>
        <a:ln w="9525">
          <a:solidFill>
            <a:srgbClr val="000000"/>
          </a:solidFill>
          <a:round/>
          <a:headEnd/>
          <a:tailEnd/>
        </a:ln>
      </xdr:spPr>
    </xdr:sp>
    <xdr:clientData/>
  </xdr:twoCellAnchor>
  <xdr:twoCellAnchor>
    <xdr:from>
      <xdr:col>5</xdr:col>
      <xdr:colOff>200025</xdr:colOff>
      <xdr:row>27</xdr:row>
      <xdr:rowOff>152400</xdr:rowOff>
    </xdr:from>
    <xdr:to>
      <xdr:col>6</xdr:col>
      <xdr:colOff>333375</xdr:colOff>
      <xdr:row>27</xdr:row>
      <xdr:rowOff>152400</xdr:rowOff>
    </xdr:to>
    <xdr:sp macro="" textlink="">
      <xdr:nvSpPr>
        <xdr:cNvPr id="11" name="Line 10"/>
        <xdr:cNvSpPr>
          <a:spLocks noChangeShapeType="1"/>
        </xdr:cNvSpPr>
      </xdr:nvSpPr>
      <xdr:spPr bwMode="auto">
        <a:xfrm>
          <a:off x="3171825" y="4562475"/>
          <a:ext cx="742950" cy="0"/>
        </a:xfrm>
        <a:prstGeom prst="line">
          <a:avLst/>
        </a:prstGeom>
        <a:noFill/>
        <a:ln w="9525">
          <a:solidFill>
            <a:srgbClr val="000000"/>
          </a:solidFill>
          <a:round/>
          <a:headEnd/>
          <a:tailEnd/>
        </a:ln>
      </xdr:spPr>
    </xdr:sp>
    <xdr:clientData/>
  </xdr:twoCellAnchor>
  <xdr:twoCellAnchor>
    <xdr:from>
      <xdr:col>1</xdr:col>
      <xdr:colOff>314325</xdr:colOff>
      <xdr:row>28</xdr:row>
      <xdr:rowOff>0</xdr:rowOff>
    </xdr:from>
    <xdr:to>
      <xdr:col>3</xdr:col>
      <xdr:colOff>9525</xdr:colOff>
      <xdr:row>28</xdr:row>
      <xdr:rowOff>0</xdr:rowOff>
    </xdr:to>
    <xdr:sp macro="" textlink="">
      <xdr:nvSpPr>
        <xdr:cNvPr id="12" name="Line 11"/>
        <xdr:cNvSpPr>
          <a:spLocks noChangeShapeType="1"/>
        </xdr:cNvSpPr>
      </xdr:nvSpPr>
      <xdr:spPr bwMode="auto">
        <a:xfrm>
          <a:off x="847725" y="4572000"/>
          <a:ext cx="914400" cy="0"/>
        </a:xfrm>
        <a:prstGeom prst="line">
          <a:avLst/>
        </a:prstGeom>
        <a:noFill/>
        <a:ln w="9525">
          <a:solidFill>
            <a:srgbClr val="000000"/>
          </a:solidFill>
          <a:round/>
          <a:headEnd/>
          <a:tailEnd/>
        </a:ln>
      </xdr:spPr>
    </xdr:sp>
    <xdr:clientData/>
  </xdr:twoCellAnchor>
  <xdr:twoCellAnchor>
    <xdr:from>
      <xdr:col>2</xdr:col>
      <xdr:colOff>85725</xdr:colOff>
      <xdr:row>34</xdr:row>
      <xdr:rowOff>0</xdr:rowOff>
    </xdr:from>
    <xdr:to>
      <xdr:col>2</xdr:col>
      <xdr:colOff>409575</xdr:colOff>
      <xdr:row>34</xdr:row>
      <xdr:rowOff>0</xdr:rowOff>
    </xdr:to>
    <xdr:sp macro="" textlink="">
      <xdr:nvSpPr>
        <xdr:cNvPr id="13" name="Line 12"/>
        <xdr:cNvSpPr>
          <a:spLocks noChangeShapeType="1"/>
        </xdr:cNvSpPr>
      </xdr:nvSpPr>
      <xdr:spPr bwMode="auto">
        <a:xfrm>
          <a:off x="1228725" y="5543550"/>
          <a:ext cx="323850" cy="0"/>
        </a:xfrm>
        <a:prstGeom prst="line">
          <a:avLst/>
        </a:prstGeom>
        <a:noFill/>
        <a:ln w="9525">
          <a:solidFill>
            <a:srgbClr val="000000"/>
          </a:solidFill>
          <a:round/>
          <a:headEnd/>
          <a:tailEnd/>
        </a:ln>
      </xdr:spPr>
    </xdr:sp>
    <xdr:clientData/>
  </xdr:twoCellAnchor>
  <xdr:twoCellAnchor>
    <xdr:from>
      <xdr:col>3</xdr:col>
      <xdr:colOff>200025</xdr:colOff>
      <xdr:row>28</xdr:row>
      <xdr:rowOff>76200</xdr:rowOff>
    </xdr:from>
    <xdr:to>
      <xdr:col>3</xdr:col>
      <xdr:colOff>209550</xdr:colOff>
      <xdr:row>28</xdr:row>
      <xdr:rowOff>85725</xdr:rowOff>
    </xdr:to>
    <xdr:sp macro="" textlink="">
      <xdr:nvSpPr>
        <xdr:cNvPr id="14" name="Line 13"/>
        <xdr:cNvSpPr>
          <a:spLocks noChangeShapeType="1"/>
        </xdr:cNvSpPr>
      </xdr:nvSpPr>
      <xdr:spPr bwMode="auto">
        <a:xfrm>
          <a:off x="1952625" y="4648200"/>
          <a:ext cx="9525" cy="9525"/>
        </a:xfrm>
        <a:prstGeom prst="line">
          <a:avLst/>
        </a:prstGeom>
        <a:noFill/>
        <a:ln w="9525">
          <a:solidFill>
            <a:srgbClr val="000000"/>
          </a:solidFill>
          <a:round/>
          <a:headEnd/>
          <a:tailEnd/>
        </a:ln>
      </xdr:spPr>
    </xdr:sp>
    <xdr:clientData/>
  </xdr:twoCellAnchor>
  <xdr:twoCellAnchor>
    <xdr:from>
      <xdr:col>3</xdr:col>
      <xdr:colOff>123825</xdr:colOff>
      <xdr:row>28</xdr:row>
      <xdr:rowOff>85725</xdr:rowOff>
    </xdr:from>
    <xdr:to>
      <xdr:col>4</xdr:col>
      <xdr:colOff>28575</xdr:colOff>
      <xdr:row>28</xdr:row>
      <xdr:rowOff>85725</xdr:rowOff>
    </xdr:to>
    <xdr:sp macro="" textlink="">
      <xdr:nvSpPr>
        <xdr:cNvPr id="15" name="Line 14"/>
        <xdr:cNvSpPr>
          <a:spLocks noChangeShapeType="1"/>
        </xdr:cNvSpPr>
      </xdr:nvSpPr>
      <xdr:spPr bwMode="auto">
        <a:xfrm>
          <a:off x="1876425" y="4657725"/>
          <a:ext cx="514350" cy="0"/>
        </a:xfrm>
        <a:prstGeom prst="line">
          <a:avLst/>
        </a:prstGeom>
        <a:noFill/>
        <a:ln w="9525">
          <a:solidFill>
            <a:srgbClr val="000000"/>
          </a:solidFill>
          <a:round/>
          <a:headEnd/>
          <a:tailEnd/>
        </a:ln>
      </xdr:spPr>
    </xdr:sp>
    <xdr:clientData/>
  </xdr:twoCellAnchor>
  <xdr:twoCellAnchor>
    <xdr:from>
      <xdr:col>4</xdr:col>
      <xdr:colOff>295275</xdr:colOff>
      <xdr:row>28</xdr:row>
      <xdr:rowOff>76200</xdr:rowOff>
    </xdr:from>
    <xdr:to>
      <xdr:col>4</xdr:col>
      <xdr:colOff>600075</xdr:colOff>
      <xdr:row>28</xdr:row>
      <xdr:rowOff>76200</xdr:rowOff>
    </xdr:to>
    <xdr:sp macro="" textlink="">
      <xdr:nvSpPr>
        <xdr:cNvPr id="16" name="Line 15"/>
        <xdr:cNvSpPr>
          <a:spLocks noChangeShapeType="1"/>
        </xdr:cNvSpPr>
      </xdr:nvSpPr>
      <xdr:spPr bwMode="auto">
        <a:xfrm flipH="1">
          <a:off x="2657475" y="4648200"/>
          <a:ext cx="304800" cy="0"/>
        </a:xfrm>
        <a:prstGeom prst="line">
          <a:avLst/>
        </a:prstGeom>
        <a:noFill/>
        <a:ln w="9525">
          <a:solidFill>
            <a:srgbClr val="000000"/>
          </a:solidFill>
          <a:round/>
          <a:headEnd/>
          <a:tailEnd/>
        </a:ln>
      </xdr:spPr>
    </xdr:sp>
    <xdr:clientData/>
  </xdr:twoCellAnchor>
  <xdr:twoCellAnchor>
    <xdr:from>
      <xdr:col>2</xdr:col>
      <xdr:colOff>476250</xdr:colOff>
      <xdr:row>21</xdr:row>
      <xdr:rowOff>19050</xdr:rowOff>
    </xdr:from>
    <xdr:to>
      <xdr:col>4</xdr:col>
      <xdr:colOff>0</xdr:colOff>
      <xdr:row>21</xdr:row>
      <xdr:rowOff>19050</xdr:rowOff>
    </xdr:to>
    <xdr:sp macro="" textlink="">
      <xdr:nvSpPr>
        <xdr:cNvPr id="17" name="Line 16"/>
        <xdr:cNvSpPr>
          <a:spLocks noChangeShapeType="1"/>
        </xdr:cNvSpPr>
      </xdr:nvSpPr>
      <xdr:spPr bwMode="auto">
        <a:xfrm>
          <a:off x="1619250" y="3457575"/>
          <a:ext cx="742950" cy="0"/>
        </a:xfrm>
        <a:prstGeom prst="line">
          <a:avLst/>
        </a:prstGeom>
        <a:noFill/>
        <a:ln w="9525">
          <a:solidFill>
            <a:srgbClr val="000000"/>
          </a:solidFill>
          <a:round/>
          <a:headEnd/>
          <a:tailEnd/>
        </a:ln>
      </xdr:spPr>
    </xdr:sp>
    <xdr:clientData/>
  </xdr:twoCellAnchor>
  <xdr:twoCellAnchor>
    <xdr:from>
      <xdr:col>4</xdr:col>
      <xdr:colOff>409575</xdr:colOff>
      <xdr:row>21</xdr:row>
      <xdr:rowOff>19050</xdr:rowOff>
    </xdr:from>
    <xdr:to>
      <xdr:col>5</xdr:col>
      <xdr:colOff>276225</xdr:colOff>
      <xdr:row>21</xdr:row>
      <xdr:rowOff>19050</xdr:rowOff>
    </xdr:to>
    <xdr:sp macro="" textlink="">
      <xdr:nvSpPr>
        <xdr:cNvPr id="18" name="Line 17"/>
        <xdr:cNvSpPr>
          <a:spLocks noChangeShapeType="1"/>
        </xdr:cNvSpPr>
      </xdr:nvSpPr>
      <xdr:spPr bwMode="auto">
        <a:xfrm>
          <a:off x="2771775" y="3457575"/>
          <a:ext cx="476250" cy="0"/>
        </a:xfrm>
        <a:prstGeom prst="line">
          <a:avLst/>
        </a:prstGeom>
        <a:noFill/>
        <a:ln w="9525">
          <a:solidFill>
            <a:srgbClr val="000000"/>
          </a:solidFill>
          <a:round/>
          <a:headEnd/>
          <a:tailEnd/>
        </a:ln>
      </xdr:spPr>
    </xdr:sp>
    <xdr:clientData/>
  </xdr:twoCellAnchor>
  <xdr:twoCellAnchor>
    <xdr:from>
      <xdr:col>5</xdr:col>
      <xdr:colOff>285750</xdr:colOff>
      <xdr:row>20</xdr:row>
      <xdr:rowOff>104775</xdr:rowOff>
    </xdr:from>
    <xdr:to>
      <xdr:col>5</xdr:col>
      <xdr:colOff>285750</xdr:colOff>
      <xdr:row>21</xdr:row>
      <xdr:rowOff>47625</xdr:rowOff>
    </xdr:to>
    <xdr:sp macro="" textlink="">
      <xdr:nvSpPr>
        <xdr:cNvPr id="19" name="Line 18"/>
        <xdr:cNvSpPr>
          <a:spLocks noChangeShapeType="1"/>
        </xdr:cNvSpPr>
      </xdr:nvSpPr>
      <xdr:spPr bwMode="auto">
        <a:xfrm>
          <a:off x="3257550" y="3381375"/>
          <a:ext cx="0" cy="104775"/>
        </a:xfrm>
        <a:prstGeom prst="line">
          <a:avLst/>
        </a:prstGeom>
        <a:noFill/>
        <a:ln w="9525">
          <a:solidFill>
            <a:srgbClr val="000000"/>
          </a:solidFill>
          <a:round/>
          <a:headEnd/>
          <a:tailEnd/>
        </a:ln>
      </xdr:spPr>
    </xdr:sp>
    <xdr:clientData/>
  </xdr:twoCellAnchor>
  <xdr:twoCellAnchor>
    <xdr:from>
      <xdr:col>2</xdr:col>
      <xdr:colOff>466725</xdr:colOff>
      <xdr:row>20</xdr:row>
      <xdr:rowOff>152400</xdr:rowOff>
    </xdr:from>
    <xdr:to>
      <xdr:col>2</xdr:col>
      <xdr:colOff>466725</xdr:colOff>
      <xdr:row>21</xdr:row>
      <xdr:rowOff>76200</xdr:rowOff>
    </xdr:to>
    <xdr:sp macro="" textlink="">
      <xdr:nvSpPr>
        <xdr:cNvPr id="20" name="Line 19"/>
        <xdr:cNvSpPr>
          <a:spLocks noChangeShapeType="1"/>
        </xdr:cNvSpPr>
      </xdr:nvSpPr>
      <xdr:spPr bwMode="auto">
        <a:xfrm>
          <a:off x="1609725" y="3429000"/>
          <a:ext cx="0" cy="85725"/>
        </a:xfrm>
        <a:prstGeom prst="line">
          <a:avLst/>
        </a:prstGeom>
        <a:noFill/>
        <a:ln w="9525">
          <a:solidFill>
            <a:srgbClr val="000000"/>
          </a:solidFill>
          <a:round/>
          <a:headEnd/>
          <a:tailEnd/>
        </a:ln>
      </xdr:spPr>
    </xdr:sp>
    <xdr:clientData/>
  </xdr:twoCellAnchor>
  <xdr:twoCellAnchor>
    <xdr:from>
      <xdr:col>5</xdr:col>
      <xdr:colOff>381000</xdr:colOff>
      <xdr:row>35</xdr:row>
      <xdr:rowOff>28575</xdr:rowOff>
    </xdr:from>
    <xdr:to>
      <xdr:col>5</xdr:col>
      <xdr:colOff>561975</xdr:colOff>
      <xdr:row>35</xdr:row>
      <xdr:rowOff>95250</xdr:rowOff>
    </xdr:to>
    <xdr:sp macro="" textlink="">
      <xdr:nvSpPr>
        <xdr:cNvPr id="21" name="Line 20"/>
        <xdr:cNvSpPr>
          <a:spLocks noChangeShapeType="1"/>
        </xdr:cNvSpPr>
      </xdr:nvSpPr>
      <xdr:spPr bwMode="auto">
        <a:xfrm>
          <a:off x="3352800" y="5734050"/>
          <a:ext cx="180975" cy="66675"/>
        </a:xfrm>
        <a:prstGeom prst="line">
          <a:avLst/>
        </a:prstGeom>
        <a:noFill/>
        <a:ln w="9525">
          <a:solidFill>
            <a:srgbClr val="000000"/>
          </a:solidFill>
          <a:round/>
          <a:headEnd/>
          <a:tailEnd/>
        </a:ln>
      </xdr:spPr>
    </xdr:sp>
    <xdr:clientData/>
  </xdr:twoCellAnchor>
  <xdr:twoCellAnchor>
    <xdr:from>
      <xdr:col>3</xdr:col>
      <xdr:colOff>152400</xdr:colOff>
      <xdr:row>36</xdr:row>
      <xdr:rowOff>38100</xdr:rowOff>
    </xdr:from>
    <xdr:to>
      <xdr:col>3</xdr:col>
      <xdr:colOff>161925</xdr:colOff>
      <xdr:row>36</xdr:row>
      <xdr:rowOff>38100</xdr:rowOff>
    </xdr:to>
    <xdr:sp macro="" textlink="">
      <xdr:nvSpPr>
        <xdr:cNvPr id="22" name="Oval 21"/>
        <xdr:cNvSpPr>
          <a:spLocks noChangeArrowheads="1"/>
        </xdr:cNvSpPr>
      </xdr:nvSpPr>
      <xdr:spPr bwMode="auto">
        <a:xfrm>
          <a:off x="1905000" y="5905500"/>
          <a:ext cx="9525" cy="0"/>
        </a:xfrm>
        <a:prstGeom prst="ellipse">
          <a:avLst/>
        </a:prstGeom>
        <a:noFill/>
        <a:ln w="9525">
          <a:solidFill>
            <a:srgbClr val="000000"/>
          </a:solidFill>
          <a:round/>
          <a:headEnd/>
          <a:tailEnd/>
        </a:ln>
      </xdr:spPr>
    </xdr:sp>
    <xdr:clientData/>
  </xdr:twoCellAnchor>
  <xdr:twoCellAnchor>
    <xdr:from>
      <xdr:col>3</xdr:col>
      <xdr:colOff>152400</xdr:colOff>
      <xdr:row>36</xdr:row>
      <xdr:rowOff>47625</xdr:rowOff>
    </xdr:from>
    <xdr:to>
      <xdr:col>3</xdr:col>
      <xdr:colOff>171450</xdr:colOff>
      <xdr:row>36</xdr:row>
      <xdr:rowOff>47625</xdr:rowOff>
    </xdr:to>
    <xdr:sp macro="" textlink="">
      <xdr:nvSpPr>
        <xdr:cNvPr id="23" name="Oval 22"/>
        <xdr:cNvSpPr>
          <a:spLocks noChangeArrowheads="1"/>
        </xdr:cNvSpPr>
      </xdr:nvSpPr>
      <xdr:spPr bwMode="auto">
        <a:xfrm>
          <a:off x="1905000" y="5915025"/>
          <a:ext cx="19050" cy="0"/>
        </a:xfrm>
        <a:prstGeom prst="ellipse">
          <a:avLst/>
        </a:prstGeom>
        <a:noFill/>
        <a:ln w="9525">
          <a:solidFill>
            <a:srgbClr val="000000"/>
          </a:solidFill>
          <a:round/>
          <a:headEnd/>
          <a:tailEnd/>
        </a:ln>
      </xdr:spPr>
    </xdr:sp>
    <xdr:clientData/>
  </xdr:twoCellAnchor>
  <xdr:twoCellAnchor>
    <xdr:from>
      <xdr:col>5</xdr:col>
      <xdr:colOff>238125</xdr:colOff>
      <xdr:row>38</xdr:row>
      <xdr:rowOff>85725</xdr:rowOff>
    </xdr:from>
    <xdr:to>
      <xdr:col>5</xdr:col>
      <xdr:colOff>247650</xdr:colOff>
      <xdr:row>38</xdr:row>
      <xdr:rowOff>95250</xdr:rowOff>
    </xdr:to>
    <xdr:sp macro="" textlink="">
      <xdr:nvSpPr>
        <xdr:cNvPr id="24" name="Rectangle 23"/>
        <xdr:cNvSpPr>
          <a:spLocks noChangeArrowheads="1"/>
        </xdr:cNvSpPr>
      </xdr:nvSpPr>
      <xdr:spPr bwMode="auto">
        <a:xfrm>
          <a:off x="3209925" y="6276975"/>
          <a:ext cx="9525" cy="9525"/>
        </a:xfrm>
        <a:prstGeom prst="rect">
          <a:avLst/>
        </a:prstGeom>
        <a:noFill/>
        <a:ln w="9525">
          <a:solidFill>
            <a:srgbClr val="000000"/>
          </a:solidFill>
          <a:miter lim="800000"/>
          <a:headEnd/>
          <a:tailEnd/>
        </a:ln>
      </xdr:spPr>
    </xdr:sp>
    <xdr:clientData/>
  </xdr:twoCellAnchor>
  <xdr:twoCellAnchor>
    <xdr:from>
      <xdr:col>3</xdr:col>
      <xdr:colOff>133350</xdr:colOff>
      <xdr:row>28</xdr:row>
      <xdr:rowOff>28575</xdr:rowOff>
    </xdr:from>
    <xdr:to>
      <xdr:col>3</xdr:col>
      <xdr:colOff>247650</xdr:colOff>
      <xdr:row>28</xdr:row>
      <xdr:rowOff>142875</xdr:rowOff>
    </xdr:to>
    <xdr:sp macro="" textlink="">
      <xdr:nvSpPr>
        <xdr:cNvPr id="25" name="Line 24"/>
        <xdr:cNvSpPr>
          <a:spLocks noChangeShapeType="1"/>
        </xdr:cNvSpPr>
      </xdr:nvSpPr>
      <xdr:spPr bwMode="auto">
        <a:xfrm flipH="1">
          <a:off x="1885950" y="4600575"/>
          <a:ext cx="114300" cy="114300"/>
        </a:xfrm>
        <a:prstGeom prst="line">
          <a:avLst/>
        </a:prstGeom>
        <a:noFill/>
        <a:ln w="9525">
          <a:solidFill>
            <a:srgbClr val="000000"/>
          </a:solidFill>
          <a:round/>
          <a:headEnd/>
          <a:tailEnd/>
        </a:ln>
      </xdr:spPr>
    </xdr:sp>
    <xdr:clientData/>
  </xdr:twoCellAnchor>
  <xdr:twoCellAnchor>
    <xdr:from>
      <xdr:col>4</xdr:col>
      <xdr:colOff>542925</xdr:colOff>
      <xdr:row>28</xdr:row>
      <xdr:rowOff>28575</xdr:rowOff>
    </xdr:from>
    <xdr:to>
      <xdr:col>5</xdr:col>
      <xdr:colOff>28575</xdr:colOff>
      <xdr:row>28</xdr:row>
      <xdr:rowOff>133350</xdr:rowOff>
    </xdr:to>
    <xdr:sp macro="" textlink="">
      <xdr:nvSpPr>
        <xdr:cNvPr id="26" name="Line 25"/>
        <xdr:cNvSpPr>
          <a:spLocks noChangeShapeType="1"/>
        </xdr:cNvSpPr>
      </xdr:nvSpPr>
      <xdr:spPr bwMode="auto">
        <a:xfrm flipH="1">
          <a:off x="2905125" y="4600575"/>
          <a:ext cx="95250" cy="104775"/>
        </a:xfrm>
        <a:prstGeom prst="line">
          <a:avLst/>
        </a:prstGeom>
        <a:noFill/>
        <a:ln w="9525">
          <a:solidFill>
            <a:srgbClr val="000000"/>
          </a:solidFill>
          <a:round/>
          <a:headEnd/>
          <a:tailEnd/>
        </a:ln>
      </xdr:spPr>
    </xdr:sp>
    <xdr:clientData/>
  </xdr:twoCellAnchor>
  <xdr:twoCellAnchor>
    <xdr:from>
      <xdr:col>17</xdr:col>
      <xdr:colOff>9525</xdr:colOff>
      <xdr:row>46</xdr:row>
      <xdr:rowOff>0</xdr:rowOff>
    </xdr:from>
    <xdr:to>
      <xdr:col>17</xdr:col>
      <xdr:colOff>95250</xdr:colOff>
      <xdr:row>46</xdr:row>
      <xdr:rowOff>0</xdr:rowOff>
    </xdr:to>
    <xdr:sp macro="" textlink="">
      <xdr:nvSpPr>
        <xdr:cNvPr id="27" name="Line 26"/>
        <xdr:cNvSpPr>
          <a:spLocks noChangeShapeType="1"/>
        </xdr:cNvSpPr>
      </xdr:nvSpPr>
      <xdr:spPr bwMode="auto">
        <a:xfrm flipV="1">
          <a:off x="11458575" y="7486650"/>
          <a:ext cx="85725" cy="0"/>
        </a:xfrm>
        <a:prstGeom prst="line">
          <a:avLst/>
        </a:prstGeom>
        <a:noFill/>
        <a:ln w="9525">
          <a:solidFill>
            <a:srgbClr val="000000"/>
          </a:solidFill>
          <a:round/>
          <a:headEnd/>
          <a:tailEnd/>
        </a:ln>
      </xdr:spPr>
    </xdr:sp>
    <xdr:clientData/>
  </xdr:twoCellAnchor>
  <xdr:twoCellAnchor>
    <xdr:from>
      <xdr:col>3</xdr:col>
      <xdr:colOff>47625</xdr:colOff>
      <xdr:row>12</xdr:row>
      <xdr:rowOff>19050</xdr:rowOff>
    </xdr:from>
    <xdr:to>
      <xdr:col>3</xdr:col>
      <xdr:colOff>47625</xdr:colOff>
      <xdr:row>21</xdr:row>
      <xdr:rowOff>95250</xdr:rowOff>
    </xdr:to>
    <xdr:sp macro="" textlink="">
      <xdr:nvSpPr>
        <xdr:cNvPr id="28" name="Line 27"/>
        <xdr:cNvSpPr>
          <a:spLocks noChangeShapeType="1"/>
        </xdr:cNvSpPr>
      </xdr:nvSpPr>
      <xdr:spPr bwMode="auto">
        <a:xfrm>
          <a:off x="1800225" y="2000250"/>
          <a:ext cx="0" cy="1533525"/>
        </a:xfrm>
        <a:prstGeom prst="line">
          <a:avLst/>
        </a:prstGeom>
        <a:noFill/>
        <a:ln w="9525">
          <a:solidFill>
            <a:srgbClr val="000000"/>
          </a:solidFill>
          <a:round/>
          <a:headEnd/>
          <a:tailEnd/>
        </a:ln>
      </xdr:spPr>
    </xdr:sp>
    <xdr:clientData/>
  </xdr:twoCellAnchor>
  <xdr:twoCellAnchor>
    <xdr:from>
      <xdr:col>3</xdr:col>
      <xdr:colOff>114300</xdr:colOff>
      <xdr:row>12</xdr:row>
      <xdr:rowOff>9525</xdr:rowOff>
    </xdr:from>
    <xdr:to>
      <xdr:col>3</xdr:col>
      <xdr:colOff>114300</xdr:colOff>
      <xdr:row>21</xdr:row>
      <xdr:rowOff>85725</xdr:rowOff>
    </xdr:to>
    <xdr:sp macro="" textlink="">
      <xdr:nvSpPr>
        <xdr:cNvPr id="29" name="Line 28"/>
        <xdr:cNvSpPr>
          <a:spLocks noChangeShapeType="1"/>
        </xdr:cNvSpPr>
      </xdr:nvSpPr>
      <xdr:spPr bwMode="auto">
        <a:xfrm>
          <a:off x="1866900" y="1990725"/>
          <a:ext cx="0" cy="1533525"/>
        </a:xfrm>
        <a:prstGeom prst="line">
          <a:avLst/>
        </a:prstGeom>
        <a:noFill/>
        <a:ln w="9525">
          <a:solidFill>
            <a:srgbClr val="000000"/>
          </a:solidFill>
          <a:round/>
          <a:headEnd/>
          <a:tailEnd/>
        </a:ln>
      </xdr:spPr>
    </xdr:sp>
    <xdr:clientData/>
  </xdr:twoCellAnchor>
  <xdr:twoCellAnchor>
    <xdr:from>
      <xdr:col>5</xdr:col>
      <xdr:colOff>85725</xdr:colOff>
      <xdr:row>12</xdr:row>
      <xdr:rowOff>9525</xdr:rowOff>
    </xdr:from>
    <xdr:to>
      <xdr:col>5</xdr:col>
      <xdr:colOff>85725</xdr:colOff>
      <xdr:row>21</xdr:row>
      <xdr:rowOff>95250</xdr:rowOff>
    </xdr:to>
    <xdr:sp macro="" textlink="">
      <xdr:nvSpPr>
        <xdr:cNvPr id="30" name="Line 29"/>
        <xdr:cNvSpPr>
          <a:spLocks noChangeShapeType="1"/>
        </xdr:cNvSpPr>
      </xdr:nvSpPr>
      <xdr:spPr bwMode="auto">
        <a:xfrm>
          <a:off x="3057525" y="1990725"/>
          <a:ext cx="0" cy="1543050"/>
        </a:xfrm>
        <a:prstGeom prst="line">
          <a:avLst/>
        </a:prstGeom>
        <a:noFill/>
        <a:ln w="9525">
          <a:solidFill>
            <a:srgbClr val="000000"/>
          </a:solidFill>
          <a:round/>
          <a:headEnd/>
          <a:tailEnd/>
        </a:ln>
      </xdr:spPr>
    </xdr:sp>
    <xdr:clientData/>
  </xdr:twoCellAnchor>
  <xdr:twoCellAnchor>
    <xdr:from>
      <xdr:col>5</xdr:col>
      <xdr:colOff>142875</xdr:colOff>
      <xdr:row>12</xdr:row>
      <xdr:rowOff>19050</xdr:rowOff>
    </xdr:from>
    <xdr:to>
      <xdr:col>5</xdr:col>
      <xdr:colOff>142875</xdr:colOff>
      <xdr:row>21</xdr:row>
      <xdr:rowOff>85725</xdr:rowOff>
    </xdr:to>
    <xdr:sp macro="" textlink="">
      <xdr:nvSpPr>
        <xdr:cNvPr id="31" name="Line 30"/>
        <xdr:cNvSpPr>
          <a:spLocks noChangeShapeType="1"/>
        </xdr:cNvSpPr>
      </xdr:nvSpPr>
      <xdr:spPr bwMode="auto">
        <a:xfrm>
          <a:off x="3114675" y="2000250"/>
          <a:ext cx="0" cy="1524000"/>
        </a:xfrm>
        <a:prstGeom prst="line">
          <a:avLst/>
        </a:prstGeom>
        <a:noFill/>
        <a:ln w="9525">
          <a:solidFill>
            <a:srgbClr val="000000"/>
          </a:solidFill>
          <a:round/>
          <a:headEnd/>
          <a:tailEnd/>
        </a:ln>
      </xdr:spPr>
    </xdr:sp>
    <xdr:clientData/>
  </xdr:twoCellAnchor>
  <xdr:twoCellAnchor>
    <xdr:from>
      <xdr:col>32</xdr:col>
      <xdr:colOff>266700</xdr:colOff>
      <xdr:row>19</xdr:row>
      <xdr:rowOff>123825</xdr:rowOff>
    </xdr:from>
    <xdr:to>
      <xdr:col>33</xdr:col>
      <xdr:colOff>104775</xdr:colOff>
      <xdr:row>20</xdr:row>
      <xdr:rowOff>28575</xdr:rowOff>
    </xdr:to>
    <xdr:sp macro="" textlink="">
      <xdr:nvSpPr>
        <xdr:cNvPr id="32" name="Line 31"/>
        <xdr:cNvSpPr>
          <a:spLocks noChangeShapeType="1"/>
        </xdr:cNvSpPr>
      </xdr:nvSpPr>
      <xdr:spPr bwMode="auto">
        <a:xfrm>
          <a:off x="20859750" y="3238500"/>
          <a:ext cx="447675" cy="66675"/>
        </a:xfrm>
        <a:prstGeom prst="line">
          <a:avLst/>
        </a:prstGeom>
        <a:noFill/>
        <a:ln w="9525">
          <a:solidFill>
            <a:srgbClr val="000000"/>
          </a:solidFill>
          <a:round/>
          <a:headEnd/>
          <a:tailEnd/>
        </a:ln>
      </xdr:spPr>
    </xdr:sp>
    <xdr:clientData/>
  </xdr:twoCellAnchor>
  <xdr:twoCellAnchor>
    <xdr:from>
      <xdr:col>56</xdr:col>
      <xdr:colOff>371475</xdr:colOff>
      <xdr:row>20</xdr:row>
      <xdr:rowOff>95250</xdr:rowOff>
    </xdr:from>
    <xdr:to>
      <xdr:col>57</xdr:col>
      <xdr:colOff>161925</xdr:colOff>
      <xdr:row>21</xdr:row>
      <xdr:rowOff>19050</xdr:rowOff>
    </xdr:to>
    <xdr:sp macro="" textlink="">
      <xdr:nvSpPr>
        <xdr:cNvPr id="33" name="Rectangle 32"/>
        <xdr:cNvSpPr>
          <a:spLocks noChangeArrowheads="1"/>
        </xdr:cNvSpPr>
      </xdr:nvSpPr>
      <xdr:spPr bwMode="auto">
        <a:xfrm>
          <a:off x="35594925" y="3371850"/>
          <a:ext cx="400050" cy="85725"/>
        </a:xfrm>
        <a:prstGeom prst="rect">
          <a:avLst/>
        </a:prstGeom>
        <a:noFill/>
        <a:ln w="9525">
          <a:solidFill>
            <a:srgbClr val="000000"/>
          </a:solidFill>
          <a:miter lim="800000"/>
          <a:headEnd/>
          <a:tailEnd/>
        </a:ln>
      </xdr:spPr>
    </xdr:sp>
    <xdr:clientData/>
  </xdr:twoCellAnchor>
  <xdr:twoCellAnchor>
    <xdr:from>
      <xdr:col>2</xdr:col>
      <xdr:colOff>533400</xdr:colOff>
      <xdr:row>12</xdr:row>
      <xdr:rowOff>0</xdr:rowOff>
    </xdr:from>
    <xdr:to>
      <xdr:col>5</xdr:col>
      <xdr:colOff>180975</xdr:colOff>
      <xdr:row>12</xdr:row>
      <xdr:rowOff>0</xdr:rowOff>
    </xdr:to>
    <xdr:sp macro="" textlink="">
      <xdr:nvSpPr>
        <xdr:cNvPr id="34" name="Line 33"/>
        <xdr:cNvSpPr>
          <a:spLocks noChangeShapeType="1"/>
        </xdr:cNvSpPr>
      </xdr:nvSpPr>
      <xdr:spPr bwMode="auto">
        <a:xfrm>
          <a:off x="1676400" y="1981200"/>
          <a:ext cx="1476375" cy="0"/>
        </a:xfrm>
        <a:prstGeom prst="line">
          <a:avLst/>
        </a:prstGeom>
        <a:noFill/>
        <a:ln w="9525">
          <a:solidFill>
            <a:srgbClr val="000000"/>
          </a:solidFill>
          <a:round/>
          <a:headEnd/>
          <a:tailEnd/>
        </a:ln>
      </xdr:spPr>
    </xdr:sp>
    <xdr:clientData/>
  </xdr:twoCellAnchor>
  <xdr:twoCellAnchor>
    <xdr:from>
      <xdr:col>69</xdr:col>
      <xdr:colOff>219075</xdr:colOff>
      <xdr:row>20</xdr:row>
      <xdr:rowOff>47625</xdr:rowOff>
    </xdr:from>
    <xdr:to>
      <xdr:col>70</xdr:col>
      <xdr:colOff>209550</xdr:colOff>
      <xdr:row>20</xdr:row>
      <xdr:rowOff>66675</xdr:rowOff>
    </xdr:to>
    <xdr:sp macro="" textlink="">
      <xdr:nvSpPr>
        <xdr:cNvPr id="35" name="Line 34"/>
        <xdr:cNvSpPr>
          <a:spLocks noChangeShapeType="1"/>
        </xdr:cNvSpPr>
      </xdr:nvSpPr>
      <xdr:spPr bwMode="auto">
        <a:xfrm>
          <a:off x="43367325" y="3324225"/>
          <a:ext cx="600075" cy="19050"/>
        </a:xfrm>
        <a:prstGeom prst="line">
          <a:avLst/>
        </a:prstGeom>
        <a:noFill/>
        <a:ln w="9525">
          <a:solidFill>
            <a:srgbClr val="000000"/>
          </a:solidFill>
          <a:round/>
          <a:headEnd/>
          <a:tailEnd/>
        </a:ln>
      </xdr:spPr>
    </xdr:sp>
    <xdr:clientData/>
  </xdr:twoCellAnchor>
  <xdr:twoCellAnchor>
    <xdr:from>
      <xdr:col>2</xdr:col>
      <xdr:colOff>552450</xdr:colOff>
      <xdr:row>11</xdr:row>
      <xdr:rowOff>114300</xdr:rowOff>
    </xdr:from>
    <xdr:to>
      <xdr:col>5</xdr:col>
      <xdr:colOff>180975</xdr:colOff>
      <xdr:row>11</xdr:row>
      <xdr:rowOff>114300</xdr:rowOff>
    </xdr:to>
    <xdr:sp macro="" textlink="">
      <xdr:nvSpPr>
        <xdr:cNvPr id="36" name="Line 35"/>
        <xdr:cNvSpPr>
          <a:spLocks noChangeShapeType="1"/>
        </xdr:cNvSpPr>
      </xdr:nvSpPr>
      <xdr:spPr bwMode="auto">
        <a:xfrm>
          <a:off x="1695450" y="1933575"/>
          <a:ext cx="1457325" cy="0"/>
        </a:xfrm>
        <a:prstGeom prst="line">
          <a:avLst/>
        </a:prstGeom>
        <a:noFill/>
        <a:ln w="9525">
          <a:solidFill>
            <a:srgbClr val="000000"/>
          </a:solidFill>
          <a:round/>
          <a:headEnd/>
          <a:tailEnd/>
        </a:ln>
      </xdr:spPr>
    </xdr:sp>
    <xdr:clientData/>
  </xdr:twoCellAnchor>
  <xdr:twoCellAnchor>
    <xdr:from>
      <xdr:col>2</xdr:col>
      <xdr:colOff>542925</xdr:colOff>
      <xdr:row>11</xdr:row>
      <xdr:rowOff>114300</xdr:rowOff>
    </xdr:from>
    <xdr:to>
      <xdr:col>2</xdr:col>
      <xdr:colOff>552450</xdr:colOff>
      <xdr:row>11</xdr:row>
      <xdr:rowOff>152400</xdr:rowOff>
    </xdr:to>
    <xdr:sp macro="" textlink="">
      <xdr:nvSpPr>
        <xdr:cNvPr id="37" name="Line 36"/>
        <xdr:cNvSpPr>
          <a:spLocks noChangeShapeType="1"/>
        </xdr:cNvSpPr>
      </xdr:nvSpPr>
      <xdr:spPr bwMode="auto">
        <a:xfrm>
          <a:off x="1685925" y="1933575"/>
          <a:ext cx="9525" cy="38100"/>
        </a:xfrm>
        <a:prstGeom prst="line">
          <a:avLst/>
        </a:prstGeom>
        <a:noFill/>
        <a:ln w="9525">
          <a:solidFill>
            <a:srgbClr val="000000"/>
          </a:solidFill>
          <a:round/>
          <a:headEnd/>
          <a:tailEnd/>
        </a:ln>
      </xdr:spPr>
    </xdr:sp>
    <xdr:clientData/>
  </xdr:twoCellAnchor>
  <xdr:twoCellAnchor>
    <xdr:from>
      <xdr:col>5</xdr:col>
      <xdr:colOff>180975</xdr:colOff>
      <xdr:row>11</xdr:row>
      <xdr:rowOff>114300</xdr:rowOff>
    </xdr:from>
    <xdr:to>
      <xdr:col>5</xdr:col>
      <xdr:colOff>190500</xdr:colOff>
      <xdr:row>11</xdr:row>
      <xdr:rowOff>152400</xdr:rowOff>
    </xdr:to>
    <xdr:sp macro="" textlink="">
      <xdr:nvSpPr>
        <xdr:cNvPr id="38" name="Line 37"/>
        <xdr:cNvSpPr>
          <a:spLocks noChangeShapeType="1"/>
        </xdr:cNvSpPr>
      </xdr:nvSpPr>
      <xdr:spPr bwMode="auto">
        <a:xfrm>
          <a:off x="3152775" y="1933575"/>
          <a:ext cx="9525" cy="38100"/>
        </a:xfrm>
        <a:prstGeom prst="line">
          <a:avLst/>
        </a:prstGeom>
        <a:noFill/>
        <a:ln w="9525">
          <a:solidFill>
            <a:srgbClr val="000000"/>
          </a:solidFill>
          <a:round/>
          <a:headEnd/>
          <a:tailEnd/>
        </a:ln>
      </xdr:spPr>
    </xdr:sp>
    <xdr:clientData/>
  </xdr:twoCellAnchor>
  <xdr:twoCellAnchor>
    <xdr:from>
      <xdr:col>5</xdr:col>
      <xdr:colOff>180975</xdr:colOff>
      <xdr:row>11</xdr:row>
      <xdr:rowOff>114300</xdr:rowOff>
    </xdr:from>
    <xdr:to>
      <xdr:col>5</xdr:col>
      <xdr:colOff>190500</xdr:colOff>
      <xdr:row>12</xdr:row>
      <xdr:rowOff>9525</xdr:rowOff>
    </xdr:to>
    <xdr:sp macro="" textlink="">
      <xdr:nvSpPr>
        <xdr:cNvPr id="39" name="Line 38"/>
        <xdr:cNvSpPr>
          <a:spLocks noChangeShapeType="1"/>
        </xdr:cNvSpPr>
      </xdr:nvSpPr>
      <xdr:spPr bwMode="auto">
        <a:xfrm>
          <a:off x="3152775" y="1933575"/>
          <a:ext cx="9525" cy="57150"/>
        </a:xfrm>
        <a:prstGeom prst="line">
          <a:avLst/>
        </a:prstGeom>
        <a:noFill/>
        <a:ln w="9525">
          <a:solidFill>
            <a:srgbClr val="000000"/>
          </a:solidFill>
          <a:round/>
          <a:headEnd/>
          <a:tailEnd/>
        </a:ln>
      </xdr:spPr>
    </xdr:sp>
    <xdr:clientData/>
  </xdr:twoCellAnchor>
  <xdr:twoCellAnchor>
    <xdr:from>
      <xdr:col>2</xdr:col>
      <xdr:colOff>466725</xdr:colOff>
      <xdr:row>34</xdr:row>
      <xdr:rowOff>9525</xdr:rowOff>
    </xdr:from>
    <xdr:to>
      <xdr:col>3</xdr:col>
      <xdr:colOff>304800</xdr:colOff>
      <xdr:row>34</xdr:row>
      <xdr:rowOff>152400</xdr:rowOff>
    </xdr:to>
    <xdr:sp macro="" textlink="">
      <xdr:nvSpPr>
        <xdr:cNvPr id="40" name="Rectangle 39"/>
        <xdr:cNvSpPr>
          <a:spLocks noChangeArrowheads="1"/>
        </xdr:cNvSpPr>
      </xdr:nvSpPr>
      <xdr:spPr bwMode="auto">
        <a:xfrm>
          <a:off x="1609725" y="5553075"/>
          <a:ext cx="447675" cy="142875"/>
        </a:xfrm>
        <a:prstGeom prst="rect">
          <a:avLst/>
        </a:prstGeom>
        <a:noFill/>
        <a:ln w="9525">
          <a:solidFill>
            <a:srgbClr val="000000"/>
          </a:solidFill>
          <a:miter lim="800000"/>
          <a:headEnd/>
          <a:tailEnd/>
        </a:ln>
      </xdr:spPr>
    </xdr:sp>
    <xdr:clientData/>
  </xdr:twoCellAnchor>
  <xdr:twoCellAnchor>
    <xdr:from>
      <xdr:col>4</xdr:col>
      <xdr:colOff>495300</xdr:colOff>
      <xdr:row>34</xdr:row>
      <xdr:rowOff>9525</xdr:rowOff>
    </xdr:from>
    <xdr:to>
      <xdr:col>5</xdr:col>
      <xdr:colOff>295275</xdr:colOff>
      <xdr:row>34</xdr:row>
      <xdr:rowOff>152400</xdr:rowOff>
    </xdr:to>
    <xdr:sp macro="" textlink="">
      <xdr:nvSpPr>
        <xdr:cNvPr id="41" name="Rectangle 40"/>
        <xdr:cNvSpPr>
          <a:spLocks noChangeArrowheads="1"/>
        </xdr:cNvSpPr>
      </xdr:nvSpPr>
      <xdr:spPr bwMode="auto">
        <a:xfrm>
          <a:off x="2857500" y="5553075"/>
          <a:ext cx="409575" cy="142875"/>
        </a:xfrm>
        <a:prstGeom prst="rect">
          <a:avLst/>
        </a:prstGeom>
        <a:noFill/>
        <a:ln w="9525">
          <a:solidFill>
            <a:srgbClr val="000000"/>
          </a:solidFill>
          <a:miter lim="800000"/>
          <a:headEnd/>
          <a:tailEnd/>
        </a:ln>
      </xdr:spPr>
    </xdr:sp>
    <xdr:clientData/>
  </xdr:twoCellAnchor>
  <xdr:twoCellAnchor>
    <xdr:from>
      <xdr:col>2</xdr:col>
      <xdr:colOff>95250</xdr:colOff>
      <xdr:row>35</xdr:row>
      <xdr:rowOff>0</xdr:rowOff>
    </xdr:from>
    <xdr:to>
      <xdr:col>2</xdr:col>
      <xdr:colOff>419100</xdr:colOff>
      <xdr:row>35</xdr:row>
      <xdr:rowOff>0</xdr:rowOff>
    </xdr:to>
    <xdr:sp macro="" textlink="">
      <xdr:nvSpPr>
        <xdr:cNvPr id="42" name="Line 41"/>
        <xdr:cNvSpPr>
          <a:spLocks noChangeShapeType="1"/>
        </xdr:cNvSpPr>
      </xdr:nvSpPr>
      <xdr:spPr bwMode="auto">
        <a:xfrm>
          <a:off x="1238250" y="5705475"/>
          <a:ext cx="323850" cy="0"/>
        </a:xfrm>
        <a:prstGeom prst="line">
          <a:avLst/>
        </a:prstGeom>
        <a:noFill/>
        <a:ln w="9525">
          <a:solidFill>
            <a:srgbClr val="000000"/>
          </a:solidFill>
          <a:round/>
          <a:headEnd/>
          <a:tailEnd/>
        </a:ln>
      </xdr:spPr>
    </xdr:sp>
    <xdr:clientData/>
  </xdr:twoCellAnchor>
  <xdr:twoCellAnchor>
    <xdr:from>
      <xdr:col>2</xdr:col>
      <xdr:colOff>180975</xdr:colOff>
      <xdr:row>34</xdr:row>
      <xdr:rowOff>0</xdr:rowOff>
    </xdr:from>
    <xdr:to>
      <xdr:col>2</xdr:col>
      <xdr:colOff>180975</xdr:colOff>
      <xdr:row>35</xdr:row>
      <xdr:rowOff>19050</xdr:rowOff>
    </xdr:to>
    <xdr:sp macro="" textlink="">
      <xdr:nvSpPr>
        <xdr:cNvPr id="43" name="Line 42"/>
        <xdr:cNvSpPr>
          <a:spLocks noChangeShapeType="1"/>
        </xdr:cNvSpPr>
      </xdr:nvSpPr>
      <xdr:spPr bwMode="auto">
        <a:xfrm>
          <a:off x="1323975" y="5543550"/>
          <a:ext cx="0" cy="180975"/>
        </a:xfrm>
        <a:prstGeom prst="line">
          <a:avLst/>
        </a:prstGeom>
        <a:noFill/>
        <a:ln w="9525">
          <a:solidFill>
            <a:srgbClr val="000000"/>
          </a:solidFill>
          <a:round/>
          <a:headEnd/>
          <a:tailEnd/>
        </a:ln>
      </xdr:spPr>
    </xdr:sp>
    <xdr:clientData/>
  </xdr:twoCellAnchor>
  <xdr:twoCellAnchor>
    <xdr:from>
      <xdr:col>37</xdr:col>
      <xdr:colOff>581025</xdr:colOff>
      <xdr:row>35</xdr:row>
      <xdr:rowOff>104775</xdr:rowOff>
    </xdr:from>
    <xdr:to>
      <xdr:col>38</xdr:col>
      <xdr:colOff>76200</xdr:colOff>
      <xdr:row>35</xdr:row>
      <xdr:rowOff>142875</xdr:rowOff>
    </xdr:to>
    <xdr:sp macro="" textlink="">
      <xdr:nvSpPr>
        <xdr:cNvPr id="44" name="Line 43"/>
        <xdr:cNvSpPr>
          <a:spLocks noChangeShapeType="1"/>
        </xdr:cNvSpPr>
      </xdr:nvSpPr>
      <xdr:spPr bwMode="auto">
        <a:xfrm flipV="1">
          <a:off x="24222075" y="5810250"/>
          <a:ext cx="104775" cy="38100"/>
        </a:xfrm>
        <a:prstGeom prst="line">
          <a:avLst/>
        </a:prstGeom>
        <a:noFill/>
        <a:ln w="9525">
          <a:solidFill>
            <a:srgbClr val="000000"/>
          </a:solidFill>
          <a:round/>
          <a:headEnd/>
          <a:tailEnd/>
        </a:ln>
      </xdr:spPr>
    </xdr:sp>
    <xdr:clientData/>
  </xdr:twoCellAnchor>
  <xdr:twoCellAnchor>
    <xdr:from>
      <xdr:col>5</xdr:col>
      <xdr:colOff>228600</xdr:colOff>
      <xdr:row>32</xdr:row>
      <xdr:rowOff>133350</xdr:rowOff>
    </xdr:from>
    <xdr:to>
      <xdr:col>5</xdr:col>
      <xdr:colOff>352425</xdr:colOff>
      <xdr:row>34</xdr:row>
      <xdr:rowOff>9525</xdr:rowOff>
    </xdr:to>
    <xdr:sp macro="" textlink="">
      <xdr:nvSpPr>
        <xdr:cNvPr id="45" name="Line 44"/>
        <xdr:cNvSpPr>
          <a:spLocks noChangeShapeType="1"/>
        </xdr:cNvSpPr>
      </xdr:nvSpPr>
      <xdr:spPr bwMode="auto">
        <a:xfrm flipV="1">
          <a:off x="3200400" y="5353050"/>
          <a:ext cx="123825" cy="200025"/>
        </a:xfrm>
        <a:prstGeom prst="line">
          <a:avLst/>
        </a:prstGeom>
        <a:noFill/>
        <a:ln w="9525">
          <a:solidFill>
            <a:srgbClr val="000000"/>
          </a:solidFill>
          <a:round/>
          <a:headEnd/>
          <a:tailEnd/>
        </a:ln>
      </xdr:spPr>
    </xdr:sp>
    <xdr:clientData/>
  </xdr:twoCellAnchor>
  <xdr:twoCellAnchor>
    <xdr:from>
      <xdr:col>2</xdr:col>
      <xdr:colOff>400050</xdr:colOff>
      <xdr:row>35</xdr:row>
      <xdr:rowOff>0</xdr:rowOff>
    </xdr:from>
    <xdr:to>
      <xdr:col>5</xdr:col>
      <xdr:colOff>323850</xdr:colOff>
      <xdr:row>35</xdr:row>
      <xdr:rowOff>95250</xdr:rowOff>
    </xdr:to>
    <xdr:sp macro="" textlink="">
      <xdr:nvSpPr>
        <xdr:cNvPr id="46" name="Rectangle 45"/>
        <xdr:cNvSpPr>
          <a:spLocks noChangeArrowheads="1"/>
        </xdr:cNvSpPr>
      </xdr:nvSpPr>
      <xdr:spPr bwMode="auto">
        <a:xfrm>
          <a:off x="1543050" y="5705475"/>
          <a:ext cx="1752600" cy="95250"/>
        </a:xfrm>
        <a:prstGeom prst="rect">
          <a:avLst/>
        </a:prstGeom>
        <a:noFill/>
        <a:ln w="9525">
          <a:solidFill>
            <a:srgbClr val="000000"/>
          </a:solidFill>
          <a:miter lim="800000"/>
          <a:headEnd/>
          <a:tailEnd/>
        </a:ln>
      </xdr:spPr>
    </xdr:sp>
    <xdr:clientData/>
  </xdr:twoCellAnchor>
  <xdr:twoCellAnchor>
    <xdr:from>
      <xdr:col>38</xdr:col>
      <xdr:colOff>9525</xdr:colOff>
      <xdr:row>46</xdr:row>
      <xdr:rowOff>0</xdr:rowOff>
    </xdr:from>
    <xdr:to>
      <xdr:col>38</xdr:col>
      <xdr:colOff>47625</xdr:colOff>
      <xdr:row>46</xdr:row>
      <xdr:rowOff>0</xdr:rowOff>
    </xdr:to>
    <xdr:sp macro="" textlink="">
      <xdr:nvSpPr>
        <xdr:cNvPr id="47" name="Rectangle 46"/>
        <xdr:cNvSpPr>
          <a:spLocks noChangeArrowheads="1"/>
        </xdr:cNvSpPr>
      </xdr:nvSpPr>
      <xdr:spPr bwMode="auto">
        <a:xfrm>
          <a:off x="24260175" y="7486650"/>
          <a:ext cx="38100" cy="0"/>
        </a:xfrm>
        <a:prstGeom prst="rect">
          <a:avLst/>
        </a:prstGeom>
        <a:noFill/>
        <a:ln w="9525">
          <a:solidFill>
            <a:srgbClr val="000000"/>
          </a:solidFill>
          <a:miter lim="800000"/>
          <a:headEnd/>
          <a:tailEnd/>
        </a:ln>
      </xdr:spPr>
    </xdr:sp>
    <xdr:clientData/>
  </xdr:twoCellAnchor>
  <xdr:twoCellAnchor>
    <xdr:from>
      <xdr:col>2</xdr:col>
      <xdr:colOff>400050</xdr:colOff>
      <xdr:row>35</xdr:row>
      <xdr:rowOff>104775</xdr:rowOff>
    </xdr:from>
    <xdr:to>
      <xdr:col>5</xdr:col>
      <xdr:colOff>323850</xdr:colOff>
      <xdr:row>36</xdr:row>
      <xdr:rowOff>9525</xdr:rowOff>
    </xdr:to>
    <xdr:sp macro="" textlink="">
      <xdr:nvSpPr>
        <xdr:cNvPr id="48" name="Rectangle 47"/>
        <xdr:cNvSpPr>
          <a:spLocks noChangeArrowheads="1"/>
        </xdr:cNvSpPr>
      </xdr:nvSpPr>
      <xdr:spPr bwMode="auto">
        <a:xfrm>
          <a:off x="1543050" y="5810250"/>
          <a:ext cx="1752600" cy="66675"/>
        </a:xfrm>
        <a:prstGeom prst="rect">
          <a:avLst/>
        </a:prstGeom>
        <a:noFill/>
        <a:ln w="9525">
          <a:solidFill>
            <a:srgbClr val="000000"/>
          </a:solidFill>
          <a:miter lim="800000"/>
          <a:headEnd/>
          <a:tailEnd/>
        </a:ln>
      </xdr:spPr>
    </xdr:sp>
    <xdr:clientData/>
  </xdr:twoCellAnchor>
  <xdr:twoCellAnchor>
    <xdr:from>
      <xdr:col>5</xdr:col>
      <xdr:colOff>361950</xdr:colOff>
      <xdr:row>35</xdr:row>
      <xdr:rowOff>152400</xdr:rowOff>
    </xdr:from>
    <xdr:to>
      <xdr:col>5</xdr:col>
      <xdr:colOff>581025</xdr:colOff>
      <xdr:row>36</xdr:row>
      <xdr:rowOff>66675</xdr:rowOff>
    </xdr:to>
    <xdr:sp macro="" textlink="">
      <xdr:nvSpPr>
        <xdr:cNvPr id="49" name="Line 48"/>
        <xdr:cNvSpPr>
          <a:spLocks noChangeShapeType="1"/>
        </xdr:cNvSpPr>
      </xdr:nvSpPr>
      <xdr:spPr bwMode="auto">
        <a:xfrm>
          <a:off x="3333750" y="5857875"/>
          <a:ext cx="219075" cy="76200"/>
        </a:xfrm>
        <a:prstGeom prst="line">
          <a:avLst/>
        </a:prstGeom>
        <a:noFill/>
        <a:ln w="9525">
          <a:solidFill>
            <a:srgbClr val="000000"/>
          </a:solidFill>
          <a:round/>
          <a:headEnd/>
          <a:tailEnd/>
        </a:ln>
      </xdr:spPr>
    </xdr:sp>
    <xdr:clientData/>
  </xdr:twoCellAnchor>
  <xdr:twoCellAnchor>
    <xdr:from>
      <xdr:col>2</xdr:col>
      <xdr:colOff>400050</xdr:colOff>
      <xdr:row>36</xdr:row>
      <xdr:rowOff>9525</xdr:rowOff>
    </xdr:from>
    <xdr:to>
      <xdr:col>5</xdr:col>
      <xdr:colOff>323850</xdr:colOff>
      <xdr:row>36</xdr:row>
      <xdr:rowOff>57150</xdr:rowOff>
    </xdr:to>
    <xdr:sp macro="" textlink="">
      <xdr:nvSpPr>
        <xdr:cNvPr id="50" name="Rectangle 49"/>
        <xdr:cNvSpPr>
          <a:spLocks noChangeArrowheads="1"/>
        </xdr:cNvSpPr>
      </xdr:nvSpPr>
      <xdr:spPr bwMode="auto">
        <a:xfrm>
          <a:off x="1543050" y="5876925"/>
          <a:ext cx="1752600" cy="47625"/>
        </a:xfrm>
        <a:prstGeom prst="rect">
          <a:avLst/>
        </a:prstGeom>
        <a:noFill/>
        <a:ln w="9525">
          <a:solidFill>
            <a:srgbClr val="000000"/>
          </a:solidFill>
          <a:miter lim="800000"/>
          <a:headEnd/>
          <a:tailEnd/>
        </a:ln>
      </xdr:spPr>
    </xdr:sp>
    <xdr:clientData/>
  </xdr:twoCellAnchor>
  <xdr:twoCellAnchor>
    <xdr:from>
      <xdr:col>5</xdr:col>
      <xdr:colOff>333375</xdr:colOff>
      <xdr:row>36</xdr:row>
      <xdr:rowOff>47625</xdr:rowOff>
    </xdr:from>
    <xdr:to>
      <xdr:col>5</xdr:col>
      <xdr:colOff>590550</xdr:colOff>
      <xdr:row>37</xdr:row>
      <xdr:rowOff>47625</xdr:rowOff>
    </xdr:to>
    <xdr:sp macro="" textlink="">
      <xdr:nvSpPr>
        <xdr:cNvPr id="51" name="Line 50"/>
        <xdr:cNvSpPr>
          <a:spLocks noChangeShapeType="1"/>
        </xdr:cNvSpPr>
      </xdr:nvSpPr>
      <xdr:spPr bwMode="auto">
        <a:xfrm>
          <a:off x="3305175" y="5915025"/>
          <a:ext cx="257175" cy="161925"/>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47625</xdr:colOff>
      <xdr:row>5</xdr:row>
      <xdr:rowOff>66675</xdr:rowOff>
    </xdr:from>
    <xdr:to>
      <xdr:col>3</xdr:col>
      <xdr:colOff>9525</xdr:colOff>
      <xdr:row>5</xdr:row>
      <xdr:rowOff>66675</xdr:rowOff>
    </xdr:to>
    <xdr:sp macro="" textlink="">
      <xdr:nvSpPr>
        <xdr:cNvPr id="2" name="Line 1"/>
        <xdr:cNvSpPr>
          <a:spLocks noChangeShapeType="1"/>
        </xdr:cNvSpPr>
      </xdr:nvSpPr>
      <xdr:spPr bwMode="auto">
        <a:xfrm>
          <a:off x="1000125" y="876300"/>
          <a:ext cx="666750" cy="0"/>
        </a:xfrm>
        <a:prstGeom prst="line">
          <a:avLst/>
        </a:prstGeom>
        <a:noFill/>
        <a:ln w="9525">
          <a:solidFill>
            <a:srgbClr val="000000"/>
          </a:solidFill>
          <a:round/>
          <a:headEnd/>
          <a:tailEnd/>
        </a:ln>
      </xdr:spPr>
    </xdr:sp>
    <xdr:clientData/>
  </xdr:twoCellAnchor>
  <xdr:twoCellAnchor>
    <xdr:from>
      <xdr:col>1</xdr:col>
      <xdr:colOff>304800</xdr:colOff>
      <xdr:row>5</xdr:row>
      <xdr:rowOff>57150</xdr:rowOff>
    </xdr:from>
    <xdr:to>
      <xdr:col>2</xdr:col>
      <xdr:colOff>47625</xdr:colOff>
      <xdr:row>9</xdr:row>
      <xdr:rowOff>133350</xdr:rowOff>
    </xdr:to>
    <xdr:sp macro="" textlink="">
      <xdr:nvSpPr>
        <xdr:cNvPr id="3" name="Line 2"/>
        <xdr:cNvSpPr>
          <a:spLocks noChangeShapeType="1"/>
        </xdr:cNvSpPr>
      </xdr:nvSpPr>
      <xdr:spPr bwMode="auto">
        <a:xfrm flipV="1">
          <a:off x="762000" y="866775"/>
          <a:ext cx="238125" cy="723900"/>
        </a:xfrm>
        <a:prstGeom prst="line">
          <a:avLst/>
        </a:prstGeom>
        <a:noFill/>
        <a:ln w="9525">
          <a:solidFill>
            <a:srgbClr val="000000"/>
          </a:solidFill>
          <a:round/>
          <a:headEnd/>
          <a:tailEnd/>
        </a:ln>
      </xdr:spPr>
    </xdr:sp>
    <xdr:clientData/>
  </xdr:twoCellAnchor>
  <xdr:twoCellAnchor>
    <xdr:from>
      <xdr:col>3</xdr:col>
      <xdr:colOff>19050</xdr:colOff>
      <xdr:row>5</xdr:row>
      <xdr:rowOff>76200</xdr:rowOff>
    </xdr:from>
    <xdr:to>
      <xdr:col>3</xdr:col>
      <xdr:colOff>419100</xdr:colOff>
      <xdr:row>9</xdr:row>
      <xdr:rowOff>123825</xdr:rowOff>
    </xdr:to>
    <xdr:sp macro="" textlink="">
      <xdr:nvSpPr>
        <xdr:cNvPr id="4" name="Line 3"/>
        <xdr:cNvSpPr>
          <a:spLocks noChangeShapeType="1"/>
        </xdr:cNvSpPr>
      </xdr:nvSpPr>
      <xdr:spPr bwMode="auto">
        <a:xfrm>
          <a:off x="1676400" y="885825"/>
          <a:ext cx="400050" cy="695325"/>
        </a:xfrm>
        <a:prstGeom prst="line">
          <a:avLst/>
        </a:prstGeom>
        <a:noFill/>
        <a:ln w="9525">
          <a:solidFill>
            <a:srgbClr val="000000"/>
          </a:solidFill>
          <a:round/>
          <a:headEnd/>
          <a:tailEnd/>
        </a:ln>
      </xdr:spPr>
    </xdr:sp>
    <xdr:clientData/>
  </xdr:twoCellAnchor>
  <xdr:twoCellAnchor>
    <xdr:from>
      <xdr:col>1</xdr:col>
      <xdr:colOff>323850</xdr:colOff>
      <xdr:row>9</xdr:row>
      <xdr:rowOff>133350</xdr:rowOff>
    </xdr:from>
    <xdr:to>
      <xdr:col>2</xdr:col>
      <xdr:colOff>9525</xdr:colOff>
      <xdr:row>9</xdr:row>
      <xdr:rowOff>133350</xdr:rowOff>
    </xdr:to>
    <xdr:sp macro="" textlink="">
      <xdr:nvSpPr>
        <xdr:cNvPr id="5" name="Line 4"/>
        <xdr:cNvSpPr>
          <a:spLocks noChangeShapeType="1"/>
        </xdr:cNvSpPr>
      </xdr:nvSpPr>
      <xdr:spPr bwMode="auto">
        <a:xfrm>
          <a:off x="781050" y="1590675"/>
          <a:ext cx="180975" cy="0"/>
        </a:xfrm>
        <a:prstGeom prst="line">
          <a:avLst/>
        </a:prstGeom>
        <a:noFill/>
        <a:ln w="9525">
          <a:solidFill>
            <a:srgbClr val="000000"/>
          </a:solidFill>
          <a:round/>
          <a:headEnd/>
          <a:tailEnd/>
        </a:ln>
      </xdr:spPr>
    </xdr:sp>
    <xdr:clientData/>
  </xdr:twoCellAnchor>
  <xdr:twoCellAnchor>
    <xdr:from>
      <xdr:col>2</xdr:col>
      <xdr:colOff>695325</xdr:colOff>
      <xdr:row>9</xdr:row>
      <xdr:rowOff>123825</xdr:rowOff>
    </xdr:from>
    <xdr:to>
      <xdr:col>3</xdr:col>
      <xdr:colOff>400050</xdr:colOff>
      <xdr:row>9</xdr:row>
      <xdr:rowOff>133350</xdr:rowOff>
    </xdr:to>
    <xdr:sp macro="" textlink="">
      <xdr:nvSpPr>
        <xdr:cNvPr id="6" name="Line 5"/>
        <xdr:cNvSpPr>
          <a:spLocks noChangeShapeType="1"/>
        </xdr:cNvSpPr>
      </xdr:nvSpPr>
      <xdr:spPr bwMode="auto">
        <a:xfrm flipV="1">
          <a:off x="1647825" y="1581150"/>
          <a:ext cx="409575" cy="9525"/>
        </a:xfrm>
        <a:prstGeom prst="line">
          <a:avLst/>
        </a:prstGeom>
        <a:noFill/>
        <a:ln w="9525">
          <a:solidFill>
            <a:srgbClr val="000000"/>
          </a:solidFill>
          <a:round/>
          <a:headEnd/>
          <a:tailEnd/>
        </a:ln>
      </xdr:spPr>
    </xdr:sp>
    <xdr:clientData/>
  </xdr:twoCellAnchor>
  <xdr:twoCellAnchor>
    <xdr:from>
      <xdr:col>33</xdr:col>
      <xdr:colOff>342900</xdr:colOff>
      <xdr:row>15</xdr:row>
      <xdr:rowOff>76200</xdr:rowOff>
    </xdr:from>
    <xdr:to>
      <xdr:col>33</xdr:col>
      <xdr:colOff>476250</xdr:colOff>
      <xdr:row>16</xdr:row>
      <xdr:rowOff>133350</xdr:rowOff>
    </xdr:to>
    <xdr:sp macro="" textlink="">
      <xdr:nvSpPr>
        <xdr:cNvPr id="7" name="Line 6"/>
        <xdr:cNvSpPr>
          <a:spLocks noChangeShapeType="1"/>
        </xdr:cNvSpPr>
      </xdr:nvSpPr>
      <xdr:spPr bwMode="auto">
        <a:xfrm>
          <a:off x="24117300" y="2505075"/>
          <a:ext cx="133350" cy="219075"/>
        </a:xfrm>
        <a:prstGeom prst="line">
          <a:avLst/>
        </a:prstGeom>
        <a:noFill/>
        <a:ln w="9525">
          <a:solidFill>
            <a:srgbClr val="000000"/>
          </a:solidFill>
          <a:round/>
          <a:headEnd/>
          <a:tailEnd/>
        </a:ln>
      </xdr:spPr>
    </xdr:sp>
    <xdr:clientData/>
  </xdr:twoCellAnchor>
  <xdr:twoCellAnchor>
    <xdr:from>
      <xdr:col>2</xdr:col>
      <xdr:colOff>247650</xdr:colOff>
      <xdr:row>10</xdr:row>
      <xdr:rowOff>76200</xdr:rowOff>
    </xdr:from>
    <xdr:to>
      <xdr:col>2</xdr:col>
      <xdr:colOff>542925</xdr:colOff>
      <xdr:row>10</xdr:row>
      <xdr:rowOff>76200</xdr:rowOff>
    </xdr:to>
    <xdr:sp macro="" textlink="">
      <xdr:nvSpPr>
        <xdr:cNvPr id="8" name="Line 7"/>
        <xdr:cNvSpPr>
          <a:spLocks noChangeShapeType="1"/>
        </xdr:cNvSpPr>
      </xdr:nvSpPr>
      <xdr:spPr bwMode="auto">
        <a:xfrm>
          <a:off x="1200150" y="1695450"/>
          <a:ext cx="295275" cy="0"/>
        </a:xfrm>
        <a:prstGeom prst="line">
          <a:avLst/>
        </a:prstGeom>
        <a:noFill/>
        <a:ln w="9525">
          <a:solidFill>
            <a:srgbClr val="000000"/>
          </a:solidFill>
          <a:round/>
          <a:headEnd/>
          <a:tailEnd/>
        </a:ln>
      </xdr:spPr>
    </xdr:sp>
    <xdr:clientData/>
  </xdr:twoCellAnchor>
  <xdr:twoCellAnchor>
    <xdr:from>
      <xdr:col>52</xdr:col>
      <xdr:colOff>228600</xdr:colOff>
      <xdr:row>13</xdr:row>
      <xdr:rowOff>95250</xdr:rowOff>
    </xdr:from>
    <xdr:to>
      <xdr:col>52</xdr:col>
      <xdr:colOff>438150</xdr:colOff>
      <xdr:row>15</xdr:row>
      <xdr:rowOff>0</xdr:rowOff>
    </xdr:to>
    <xdr:sp macro="" textlink="">
      <xdr:nvSpPr>
        <xdr:cNvPr id="9" name="Line 8"/>
        <xdr:cNvSpPr>
          <a:spLocks noChangeShapeType="1"/>
        </xdr:cNvSpPr>
      </xdr:nvSpPr>
      <xdr:spPr bwMode="auto">
        <a:xfrm flipV="1">
          <a:off x="37938075" y="2200275"/>
          <a:ext cx="209550" cy="228600"/>
        </a:xfrm>
        <a:prstGeom prst="line">
          <a:avLst/>
        </a:prstGeom>
        <a:noFill/>
        <a:ln w="9525">
          <a:solidFill>
            <a:srgbClr val="000000"/>
          </a:solidFill>
          <a:round/>
          <a:headEnd/>
          <a:tailEnd/>
        </a:ln>
      </xdr:spPr>
    </xdr:sp>
    <xdr:clientData/>
  </xdr:twoCellAnchor>
  <xdr:twoCellAnchor>
    <xdr:from>
      <xdr:col>1</xdr:col>
      <xdr:colOff>342900</xdr:colOff>
      <xdr:row>11</xdr:row>
      <xdr:rowOff>57150</xdr:rowOff>
    </xdr:from>
    <xdr:to>
      <xdr:col>2</xdr:col>
      <xdr:colOff>266700</xdr:colOff>
      <xdr:row>11</xdr:row>
      <xdr:rowOff>57150</xdr:rowOff>
    </xdr:to>
    <xdr:sp macro="" textlink="">
      <xdr:nvSpPr>
        <xdr:cNvPr id="10" name="Line 9"/>
        <xdr:cNvSpPr>
          <a:spLocks noChangeShapeType="1"/>
        </xdr:cNvSpPr>
      </xdr:nvSpPr>
      <xdr:spPr bwMode="auto">
        <a:xfrm>
          <a:off x="800100" y="1838325"/>
          <a:ext cx="419100" cy="0"/>
        </a:xfrm>
        <a:prstGeom prst="line">
          <a:avLst/>
        </a:prstGeom>
        <a:noFill/>
        <a:ln w="9525">
          <a:solidFill>
            <a:srgbClr val="000000"/>
          </a:solidFill>
          <a:round/>
          <a:headEnd/>
          <a:tailEnd/>
        </a:ln>
      </xdr:spPr>
    </xdr:sp>
    <xdr:clientData/>
  </xdr:twoCellAnchor>
  <xdr:twoCellAnchor>
    <xdr:from>
      <xdr:col>2</xdr:col>
      <xdr:colOff>447675</xdr:colOff>
      <xdr:row>11</xdr:row>
      <xdr:rowOff>66675</xdr:rowOff>
    </xdr:from>
    <xdr:to>
      <xdr:col>3</xdr:col>
      <xdr:colOff>400050</xdr:colOff>
      <xdr:row>11</xdr:row>
      <xdr:rowOff>76200</xdr:rowOff>
    </xdr:to>
    <xdr:sp macro="" textlink="">
      <xdr:nvSpPr>
        <xdr:cNvPr id="11" name="Line 10"/>
        <xdr:cNvSpPr>
          <a:spLocks noChangeShapeType="1"/>
        </xdr:cNvSpPr>
      </xdr:nvSpPr>
      <xdr:spPr bwMode="auto">
        <a:xfrm flipV="1">
          <a:off x="1400175" y="1847850"/>
          <a:ext cx="657225" cy="9525"/>
        </a:xfrm>
        <a:prstGeom prst="line">
          <a:avLst/>
        </a:prstGeom>
        <a:noFill/>
        <a:ln w="9525">
          <a:solidFill>
            <a:srgbClr val="000000"/>
          </a:solidFill>
          <a:round/>
          <a:headEnd/>
          <a:tailEnd/>
        </a:ln>
      </xdr:spPr>
    </xdr:sp>
    <xdr:clientData/>
  </xdr:twoCellAnchor>
  <xdr:twoCellAnchor>
    <xdr:from>
      <xdr:col>1</xdr:col>
      <xdr:colOff>314325</xdr:colOff>
      <xdr:row>11</xdr:row>
      <xdr:rowOff>19050</xdr:rowOff>
    </xdr:from>
    <xdr:to>
      <xdr:col>1</xdr:col>
      <xdr:colOff>352425</xdr:colOff>
      <xdr:row>11</xdr:row>
      <xdr:rowOff>95250</xdr:rowOff>
    </xdr:to>
    <xdr:sp macro="" textlink="">
      <xdr:nvSpPr>
        <xdr:cNvPr id="12" name="Line 11"/>
        <xdr:cNvSpPr>
          <a:spLocks noChangeShapeType="1"/>
        </xdr:cNvSpPr>
      </xdr:nvSpPr>
      <xdr:spPr bwMode="auto">
        <a:xfrm flipH="1">
          <a:off x="771525" y="1800225"/>
          <a:ext cx="38100" cy="76200"/>
        </a:xfrm>
        <a:prstGeom prst="line">
          <a:avLst/>
        </a:prstGeom>
        <a:noFill/>
        <a:ln w="9525">
          <a:solidFill>
            <a:srgbClr val="000000"/>
          </a:solidFill>
          <a:round/>
          <a:headEnd/>
          <a:tailEnd/>
        </a:ln>
      </xdr:spPr>
    </xdr:sp>
    <xdr:clientData/>
  </xdr:twoCellAnchor>
  <xdr:twoCellAnchor>
    <xdr:from>
      <xdr:col>3</xdr:col>
      <xdr:colOff>361950</xdr:colOff>
      <xdr:row>11</xdr:row>
      <xdr:rowOff>38100</xdr:rowOff>
    </xdr:from>
    <xdr:to>
      <xdr:col>3</xdr:col>
      <xdr:colOff>419100</xdr:colOff>
      <xdr:row>11</xdr:row>
      <xdr:rowOff>123825</xdr:rowOff>
    </xdr:to>
    <xdr:sp macro="" textlink="">
      <xdr:nvSpPr>
        <xdr:cNvPr id="13" name="Line 12"/>
        <xdr:cNvSpPr>
          <a:spLocks noChangeShapeType="1"/>
        </xdr:cNvSpPr>
      </xdr:nvSpPr>
      <xdr:spPr bwMode="auto">
        <a:xfrm flipH="1">
          <a:off x="2019300" y="1819275"/>
          <a:ext cx="57150" cy="85725"/>
        </a:xfrm>
        <a:prstGeom prst="line">
          <a:avLst/>
        </a:prstGeom>
        <a:noFill/>
        <a:ln w="9525">
          <a:solidFill>
            <a:srgbClr val="000000"/>
          </a:solidFill>
          <a:round/>
          <a:headEnd/>
          <a:tailEnd/>
        </a:ln>
      </xdr:spPr>
    </xdr:sp>
    <xdr:clientData/>
  </xdr:twoCellAnchor>
  <xdr:twoCellAnchor>
    <xdr:from>
      <xdr:col>3</xdr:col>
      <xdr:colOff>142875</xdr:colOff>
      <xdr:row>6</xdr:row>
      <xdr:rowOff>76200</xdr:rowOff>
    </xdr:from>
    <xdr:to>
      <xdr:col>6</xdr:col>
      <xdr:colOff>400050</xdr:colOff>
      <xdr:row>6</xdr:row>
      <xdr:rowOff>76200</xdr:rowOff>
    </xdr:to>
    <xdr:sp macro="" textlink="">
      <xdr:nvSpPr>
        <xdr:cNvPr id="14" name="Line 13"/>
        <xdr:cNvSpPr>
          <a:spLocks noChangeShapeType="1"/>
        </xdr:cNvSpPr>
      </xdr:nvSpPr>
      <xdr:spPr bwMode="auto">
        <a:xfrm>
          <a:off x="1800225" y="1047750"/>
          <a:ext cx="2362200" cy="0"/>
        </a:xfrm>
        <a:prstGeom prst="line">
          <a:avLst/>
        </a:prstGeom>
        <a:noFill/>
        <a:ln w="9525">
          <a:solidFill>
            <a:srgbClr val="000000"/>
          </a:solidFill>
          <a:round/>
          <a:headEnd/>
          <a:tailEnd/>
        </a:ln>
      </xdr:spPr>
    </xdr:sp>
    <xdr:clientData/>
  </xdr:twoCellAnchor>
  <xdr:twoCellAnchor>
    <xdr:from>
      <xdr:col>34</xdr:col>
      <xdr:colOff>304800</xdr:colOff>
      <xdr:row>19</xdr:row>
      <xdr:rowOff>0</xdr:rowOff>
    </xdr:from>
    <xdr:to>
      <xdr:col>34</xdr:col>
      <xdr:colOff>428625</xdr:colOff>
      <xdr:row>19</xdr:row>
      <xdr:rowOff>9525</xdr:rowOff>
    </xdr:to>
    <xdr:sp macro="" textlink="">
      <xdr:nvSpPr>
        <xdr:cNvPr id="15" name="Line 14"/>
        <xdr:cNvSpPr>
          <a:spLocks noChangeShapeType="1"/>
        </xdr:cNvSpPr>
      </xdr:nvSpPr>
      <xdr:spPr bwMode="auto">
        <a:xfrm>
          <a:off x="24812625" y="3076575"/>
          <a:ext cx="123825" cy="9525"/>
        </a:xfrm>
        <a:prstGeom prst="line">
          <a:avLst/>
        </a:prstGeom>
        <a:noFill/>
        <a:ln w="9525">
          <a:solidFill>
            <a:srgbClr val="000000"/>
          </a:solidFill>
          <a:round/>
          <a:headEnd/>
          <a:tailEnd/>
        </a:ln>
      </xdr:spPr>
    </xdr:sp>
    <xdr:clientData/>
  </xdr:twoCellAnchor>
  <xdr:twoCellAnchor>
    <xdr:from>
      <xdr:col>3</xdr:col>
      <xdr:colOff>390525</xdr:colOff>
      <xdr:row>9</xdr:row>
      <xdr:rowOff>114300</xdr:rowOff>
    </xdr:from>
    <xdr:to>
      <xdr:col>4</xdr:col>
      <xdr:colOff>381000</xdr:colOff>
      <xdr:row>9</xdr:row>
      <xdr:rowOff>114300</xdr:rowOff>
    </xdr:to>
    <xdr:sp macro="" textlink="">
      <xdr:nvSpPr>
        <xdr:cNvPr id="16" name="Line 15"/>
        <xdr:cNvSpPr>
          <a:spLocks noChangeShapeType="1"/>
        </xdr:cNvSpPr>
      </xdr:nvSpPr>
      <xdr:spPr bwMode="auto">
        <a:xfrm>
          <a:off x="2047875" y="1571625"/>
          <a:ext cx="676275" cy="0"/>
        </a:xfrm>
        <a:prstGeom prst="line">
          <a:avLst/>
        </a:prstGeom>
        <a:noFill/>
        <a:ln w="9525">
          <a:solidFill>
            <a:srgbClr val="000000"/>
          </a:solidFill>
          <a:round/>
          <a:headEnd/>
          <a:tailEnd/>
        </a:ln>
      </xdr:spPr>
    </xdr:sp>
    <xdr:clientData/>
  </xdr:twoCellAnchor>
  <xdr:twoCellAnchor>
    <xdr:from>
      <xdr:col>4</xdr:col>
      <xdr:colOff>361950</xdr:colOff>
      <xdr:row>9</xdr:row>
      <xdr:rowOff>114300</xdr:rowOff>
    </xdr:from>
    <xdr:to>
      <xdr:col>4</xdr:col>
      <xdr:colOff>495300</xdr:colOff>
      <xdr:row>11</xdr:row>
      <xdr:rowOff>28575</xdr:rowOff>
    </xdr:to>
    <xdr:sp macro="" textlink="">
      <xdr:nvSpPr>
        <xdr:cNvPr id="17" name="Line 16"/>
        <xdr:cNvSpPr>
          <a:spLocks noChangeShapeType="1"/>
        </xdr:cNvSpPr>
      </xdr:nvSpPr>
      <xdr:spPr bwMode="auto">
        <a:xfrm>
          <a:off x="2705100" y="1571625"/>
          <a:ext cx="133350" cy="238125"/>
        </a:xfrm>
        <a:prstGeom prst="line">
          <a:avLst/>
        </a:prstGeom>
        <a:noFill/>
        <a:ln w="9525">
          <a:solidFill>
            <a:srgbClr val="000000"/>
          </a:solidFill>
          <a:round/>
          <a:headEnd/>
          <a:tailEnd/>
        </a:ln>
      </xdr:spPr>
    </xdr:sp>
    <xdr:clientData/>
  </xdr:twoCellAnchor>
  <xdr:twoCellAnchor>
    <xdr:from>
      <xdr:col>4</xdr:col>
      <xdr:colOff>485775</xdr:colOff>
      <xdr:row>11</xdr:row>
      <xdr:rowOff>38100</xdr:rowOff>
    </xdr:from>
    <xdr:to>
      <xdr:col>5</xdr:col>
      <xdr:colOff>657225</xdr:colOff>
      <xdr:row>11</xdr:row>
      <xdr:rowOff>38100</xdr:rowOff>
    </xdr:to>
    <xdr:sp macro="" textlink="">
      <xdr:nvSpPr>
        <xdr:cNvPr id="18" name="Line 17"/>
        <xdr:cNvSpPr>
          <a:spLocks noChangeShapeType="1"/>
        </xdr:cNvSpPr>
      </xdr:nvSpPr>
      <xdr:spPr bwMode="auto">
        <a:xfrm>
          <a:off x="2828925" y="1819275"/>
          <a:ext cx="752475" cy="0"/>
        </a:xfrm>
        <a:prstGeom prst="line">
          <a:avLst/>
        </a:prstGeom>
        <a:noFill/>
        <a:ln w="9525">
          <a:solidFill>
            <a:srgbClr val="000000"/>
          </a:solidFill>
          <a:round/>
          <a:headEnd/>
          <a:tailEnd/>
        </a:ln>
      </xdr:spPr>
    </xdr:sp>
    <xdr:clientData/>
  </xdr:twoCellAnchor>
  <xdr:twoCellAnchor>
    <xdr:from>
      <xdr:col>5</xdr:col>
      <xdr:colOff>628650</xdr:colOff>
      <xdr:row>9</xdr:row>
      <xdr:rowOff>133350</xdr:rowOff>
    </xdr:from>
    <xdr:to>
      <xdr:col>6</xdr:col>
      <xdr:colOff>19050</xdr:colOff>
      <xdr:row>11</xdr:row>
      <xdr:rowOff>47625</xdr:rowOff>
    </xdr:to>
    <xdr:sp macro="" textlink="">
      <xdr:nvSpPr>
        <xdr:cNvPr id="19" name="Line 18"/>
        <xdr:cNvSpPr>
          <a:spLocks noChangeShapeType="1"/>
        </xdr:cNvSpPr>
      </xdr:nvSpPr>
      <xdr:spPr bwMode="auto">
        <a:xfrm flipH="1">
          <a:off x="3552825" y="1590675"/>
          <a:ext cx="228600" cy="238125"/>
        </a:xfrm>
        <a:prstGeom prst="line">
          <a:avLst/>
        </a:prstGeom>
        <a:noFill/>
        <a:ln w="9525">
          <a:solidFill>
            <a:srgbClr val="000000"/>
          </a:solidFill>
          <a:round/>
          <a:headEnd/>
          <a:tailEnd/>
        </a:ln>
      </xdr:spPr>
    </xdr:sp>
    <xdr:clientData/>
  </xdr:twoCellAnchor>
  <xdr:twoCellAnchor>
    <xdr:from>
      <xdr:col>6</xdr:col>
      <xdr:colOff>28575</xdr:colOff>
      <xdr:row>9</xdr:row>
      <xdr:rowOff>142875</xdr:rowOff>
    </xdr:from>
    <xdr:to>
      <xdr:col>6</xdr:col>
      <xdr:colOff>628650</xdr:colOff>
      <xdr:row>9</xdr:row>
      <xdr:rowOff>142875</xdr:rowOff>
    </xdr:to>
    <xdr:sp macro="" textlink="">
      <xdr:nvSpPr>
        <xdr:cNvPr id="20" name="Line 19"/>
        <xdr:cNvSpPr>
          <a:spLocks noChangeShapeType="1"/>
        </xdr:cNvSpPr>
      </xdr:nvSpPr>
      <xdr:spPr bwMode="auto">
        <a:xfrm>
          <a:off x="3790950" y="1600200"/>
          <a:ext cx="600075" cy="0"/>
        </a:xfrm>
        <a:prstGeom prst="line">
          <a:avLst/>
        </a:prstGeom>
        <a:noFill/>
        <a:ln w="9525">
          <a:solidFill>
            <a:srgbClr val="000000"/>
          </a:solidFill>
          <a:round/>
          <a:headEnd/>
          <a:tailEnd/>
        </a:ln>
      </xdr:spPr>
    </xdr:sp>
    <xdr:clientData/>
  </xdr:twoCellAnchor>
  <xdr:twoCellAnchor>
    <xdr:from>
      <xdr:col>6</xdr:col>
      <xdr:colOff>647700</xdr:colOff>
      <xdr:row>5</xdr:row>
      <xdr:rowOff>76200</xdr:rowOff>
    </xdr:from>
    <xdr:to>
      <xdr:col>7</xdr:col>
      <xdr:colOff>390525</xdr:colOff>
      <xdr:row>9</xdr:row>
      <xdr:rowOff>142875</xdr:rowOff>
    </xdr:to>
    <xdr:sp macro="" textlink="">
      <xdr:nvSpPr>
        <xdr:cNvPr id="21" name="Line 20"/>
        <xdr:cNvSpPr>
          <a:spLocks noChangeShapeType="1"/>
        </xdr:cNvSpPr>
      </xdr:nvSpPr>
      <xdr:spPr bwMode="auto">
        <a:xfrm flipV="1">
          <a:off x="4410075" y="885825"/>
          <a:ext cx="504825" cy="714375"/>
        </a:xfrm>
        <a:prstGeom prst="line">
          <a:avLst/>
        </a:prstGeom>
        <a:noFill/>
        <a:ln w="9525">
          <a:solidFill>
            <a:srgbClr val="000000"/>
          </a:solidFill>
          <a:round/>
          <a:headEnd/>
          <a:tailEnd/>
        </a:ln>
      </xdr:spPr>
    </xdr:sp>
    <xdr:clientData/>
  </xdr:twoCellAnchor>
  <xdr:twoCellAnchor>
    <xdr:from>
      <xdr:col>6</xdr:col>
      <xdr:colOff>390525</xdr:colOff>
      <xdr:row>6</xdr:row>
      <xdr:rowOff>76200</xdr:rowOff>
    </xdr:from>
    <xdr:to>
      <xdr:col>7</xdr:col>
      <xdr:colOff>295275</xdr:colOff>
      <xdr:row>6</xdr:row>
      <xdr:rowOff>76200</xdr:rowOff>
    </xdr:to>
    <xdr:sp macro="" textlink="">
      <xdr:nvSpPr>
        <xdr:cNvPr id="22" name="Line 21"/>
        <xdr:cNvSpPr>
          <a:spLocks noChangeShapeType="1"/>
        </xdr:cNvSpPr>
      </xdr:nvSpPr>
      <xdr:spPr bwMode="auto">
        <a:xfrm>
          <a:off x="4152900" y="1047750"/>
          <a:ext cx="666750" cy="0"/>
        </a:xfrm>
        <a:prstGeom prst="line">
          <a:avLst/>
        </a:prstGeom>
        <a:noFill/>
        <a:ln w="9525">
          <a:solidFill>
            <a:srgbClr val="000000"/>
          </a:solidFill>
          <a:round/>
          <a:headEnd/>
          <a:tailEnd/>
        </a:ln>
      </xdr:spPr>
    </xdr:sp>
    <xdr:clientData/>
  </xdr:twoCellAnchor>
  <xdr:twoCellAnchor>
    <xdr:from>
      <xdr:col>7</xdr:col>
      <xdr:colOff>390525</xdr:colOff>
      <xdr:row>5</xdr:row>
      <xdr:rowOff>85725</xdr:rowOff>
    </xdr:from>
    <xdr:to>
      <xdr:col>8</xdr:col>
      <xdr:colOff>381000</xdr:colOff>
      <xdr:row>5</xdr:row>
      <xdr:rowOff>85725</xdr:rowOff>
    </xdr:to>
    <xdr:sp macro="" textlink="">
      <xdr:nvSpPr>
        <xdr:cNvPr id="23" name="Line 22"/>
        <xdr:cNvSpPr>
          <a:spLocks noChangeShapeType="1"/>
        </xdr:cNvSpPr>
      </xdr:nvSpPr>
      <xdr:spPr bwMode="auto">
        <a:xfrm>
          <a:off x="4914900" y="895350"/>
          <a:ext cx="523875" cy="0"/>
        </a:xfrm>
        <a:prstGeom prst="line">
          <a:avLst/>
        </a:prstGeom>
        <a:noFill/>
        <a:ln w="9525">
          <a:solidFill>
            <a:srgbClr val="000000"/>
          </a:solidFill>
          <a:round/>
          <a:headEnd/>
          <a:tailEnd/>
        </a:ln>
      </xdr:spPr>
    </xdr:sp>
    <xdr:clientData/>
  </xdr:twoCellAnchor>
  <xdr:twoCellAnchor>
    <xdr:from>
      <xdr:col>8</xdr:col>
      <xdr:colOff>342900</xdr:colOff>
      <xdr:row>5</xdr:row>
      <xdr:rowOff>85725</xdr:rowOff>
    </xdr:from>
    <xdr:to>
      <xdr:col>8</xdr:col>
      <xdr:colOff>714375</xdr:colOff>
      <xdr:row>9</xdr:row>
      <xdr:rowOff>123825</xdr:rowOff>
    </xdr:to>
    <xdr:sp macro="" textlink="">
      <xdr:nvSpPr>
        <xdr:cNvPr id="24" name="Line 23"/>
        <xdr:cNvSpPr>
          <a:spLocks noChangeShapeType="1"/>
        </xdr:cNvSpPr>
      </xdr:nvSpPr>
      <xdr:spPr bwMode="auto">
        <a:xfrm>
          <a:off x="5400675" y="895350"/>
          <a:ext cx="371475" cy="685800"/>
        </a:xfrm>
        <a:prstGeom prst="line">
          <a:avLst/>
        </a:prstGeom>
        <a:noFill/>
        <a:ln w="9525">
          <a:solidFill>
            <a:srgbClr val="000000"/>
          </a:solidFill>
          <a:round/>
          <a:headEnd/>
          <a:tailEnd/>
        </a:ln>
      </xdr:spPr>
    </xdr:sp>
    <xdr:clientData/>
  </xdr:twoCellAnchor>
  <xdr:twoCellAnchor>
    <xdr:from>
      <xdr:col>6</xdr:col>
      <xdr:colOff>666750</xdr:colOff>
      <xdr:row>9</xdr:row>
      <xdr:rowOff>133350</xdr:rowOff>
    </xdr:from>
    <xdr:to>
      <xdr:col>7</xdr:col>
      <xdr:colOff>409575</xdr:colOff>
      <xdr:row>9</xdr:row>
      <xdr:rowOff>133350</xdr:rowOff>
    </xdr:to>
    <xdr:sp macro="" textlink="">
      <xdr:nvSpPr>
        <xdr:cNvPr id="25" name="Line 24"/>
        <xdr:cNvSpPr>
          <a:spLocks noChangeShapeType="1"/>
        </xdr:cNvSpPr>
      </xdr:nvSpPr>
      <xdr:spPr bwMode="auto">
        <a:xfrm>
          <a:off x="4429125" y="1590675"/>
          <a:ext cx="504825" cy="0"/>
        </a:xfrm>
        <a:prstGeom prst="line">
          <a:avLst/>
        </a:prstGeom>
        <a:noFill/>
        <a:ln w="9525">
          <a:solidFill>
            <a:srgbClr val="000000"/>
          </a:solidFill>
          <a:round/>
          <a:headEnd/>
          <a:tailEnd/>
        </a:ln>
      </xdr:spPr>
    </xdr:sp>
    <xdr:clientData/>
  </xdr:twoCellAnchor>
  <xdr:twoCellAnchor>
    <xdr:from>
      <xdr:col>8</xdr:col>
      <xdr:colOff>314325</xdr:colOff>
      <xdr:row>9</xdr:row>
      <xdr:rowOff>123825</xdr:rowOff>
    </xdr:from>
    <xdr:to>
      <xdr:col>9</xdr:col>
      <xdr:colOff>9525</xdr:colOff>
      <xdr:row>9</xdr:row>
      <xdr:rowOff>123825</xdr:rowOff>
    </xdr:to>
    <xdr:sp macro="" textlink="">
      <xdr:nvSpPr>
        <xdr:cNvPr id="26" name="Line 25"/>
        <xdr:cNvSpPr>
          <a:spLocks noChangeShapeType="1"/>
        </xdr:cNvSpPr>
      </xdr:nvSpPr>
      <xdr:spPr bwMode="auto">
        <a:xfrm>
          <a:off x="5372100" y="1581150"/>
          <a:ext cx="561975" cy="0"/>
        </a:xfrm>
        <a:prstGeom prst="line">
          <a:avLst/>
        </a:prstGeom>
        <a:noFill/>
        <a:ln w="9525">
          <a:solidFill>
            <a:srgbClr val="000000"/>
          </a:solidFill>
          <a:round/>
          <a:headEnd/>
          <a:tailEnd/>
        </a:ln>
      </xdr:spPr>
    </xdr:sp>
    <xdr:clientData/>
  </xdr:twoCellAnchor>
  <xdr:twoCellAnchor>
    <xdr:from>
      <xdr:col>7</xdr:col>
      <xdr:colOff>400050</xdr:colOff>
      <xdr:row>9</xdr:row>
      <xdr:rowOff>123825</xdr:rowOff>
    </xdr:from>
    <xdr:to>
      <xdr:col>7</xdr:col>
      <xdr:colOff>542925</xdr:colOff>
      <xdr:row>10</xdr:row>
      <xdr:rowOff>104775</xdr:rowOff>
    </xdr:to>
    <xdr:sp macro="" textlink="">
      <xdr:nvSpPr>
        <xdr:cNvPr id="27" name="Line 26"/>
        <xdr:cNvSpPr>
          <a:spLocks noChangeShapeType="1"/>
        </xdr:cNvSpPr>
      </xdr:nvSpPr>
      <xdr:spPr bwMode="auto">
        <a:xfrm>
          <a:off x="4924425" y="1581150"/>
          <a:ext cx="133350" cy="142875"/>
        </a:xfrm>
        <a:prstGeom prst="line">
          <a:avLst/>
        </a:prstGeom>
        <a:noFill/>
        <a:ln w="9525">
          <a:solidFill>
            <a:srgbClr val="000000"/>
          </a:solidFill>
          <a:round/>
          <a:headEnd/>
          <a:tailEnd/>
        </a:ln>
      </xdr:spPr>
    </xdr:sp>
    <xdr:clientData/>
  </xdr:twoCellAnchor>
  <xdr:twoCellAnchor>
    <xdr:from>
      <xdr:col>8</xdr:col>
      <xdr:colOff>219075</xdr:colOff>
      <xdr:row>9</xdr:row>
      <xdr:rowOff>142875</xdr:rowOff>
    </xdr:from>
    <xdr:to>
      <xdr:col>8</xdr:col>
      <xdr:colOff>304800</xdr:colOff>
      <xdr:row>10</xdr:row>
      <xdr:rowOff>114300</xdr:rowOff>
    </xdr:to>
    <xdr:sp macro="" textlink="">
      <xdr:nvSpPr>
        <xdr:cNvPr id="28" name="Line 27"/>
        <xdr:cNvSpPr>
          <a:spLocks noChangeShapeType="1"/>
        </xdr:cNvSpPr>
      </xdr:nvSpPr>
      <xdr:spPr bwMode="auto">
        <a:xfrm flipH="1">
          <a:off x="5276850" y="1600200"/>
          <a:ext cx="85725" cy="133350"/>
        </a:xfrm>
        <a:prstGeom prst="line">
          <a:avLst/>
        </a:prstGeom>
        <a:noFill/>
        <a:ln w="9525">
          <a:solidFill>
            <a:srgbClr val="000000"/>
          </a:solidFill>
          <a:round/>
          <a:headEnd/>
          <a:tailEnd/>
        </a:ln>
      </xdr:spPr>
    </xdr:sp>
    <xdr:clientData/>
  </xdr:twoCellAnchor>
  <xdr:twoCellAnchor>
    <xdr:from>
      <xdr:col>7</xdr:col>
      <xdr:colOff>542925</xdr:colOff>
      <xdr:row>10</xdr:row>
      <xdr:rowOff>95250</xdr:rowOff>
    </xdr:from>
    <xdr:to>
      <xdr:col>8</xdr:col>
      <xdr:colOff>238125</xdr:colOff>
      <xdr:row>10</xdr:row>
      <xdr:rowOff>104775</xdr:rowOff>
    </xdr:to>
    <xdr:sp macro="" textlink="">
      <xdr:nvSpPr>
        <xdr:cNvPr id="29" name="Line 28"/>
        <xdr:cNvSpPr>
          <a:spLocks noChangeShapeType="1"/>
        </xdr:cNvSpPr>
      </xdr:nvSpPr>
      <xdr:spPr bwMode="auto">
        <a:xfrm flipV="1">
          <a:off x="5057775" y="1714500"/>
          <a:ext cx="238125" cy="9525"/>
        </a:xfrm>
        <a:prstGeom prst="line">
          <a:avLst/>
        </a:prstGeom>
        <a:noFill/>
        <a:ln w="9525">
          <a:solidFill>
            <a:srgbClr val="000000"/>
          </a:solidFill>
          <a:round/>
          <a:headEnd/>
          <a:tailEnd/>
        </a:ln>
      </xdr:spPr>
    </xdr:sp>
    <xdr:clientData/>
  </xdr:twoCellAnchor>
  <xdr:twoCellAnchor>
    <xdr:from>
      <xdr:col>4</xdr:col>
      <xdr:colOff>342900</xdr:colOff>
      <xdr:row>8</xdr:row>
      <xdr:rowOff>95250</xdr:rowOff>
    </xdr:from>
    <xdr:to>
      <xdr:col>4</xdr:col>
      <xdr:colOff>342900</xdr:colOff>
      <xdr:row>9</xdr:row>
      <xdr:rowOff>38100</xdr:rowOff>
    </xdr:to>
    <xdr:sp macro="" textlink="">
      <xdr:nvSpPr>
        <xdr:cNvPr id="30" name="Line 29"/>
        <xdr:cNvSpPr>
          <a:spLocks noChangeShapeType="1"/>
        </xdr:cNvSpPr>
      </xdr:nvSpPr>
      <xdr:spPr bwMode="auto">
        <a:xfrm>
          <a:off x="2686050" y="1390650"/>
          <a:ext cx="0" cy="104775"/>
        </a:xfrm>
        <a:prstGeom prst="line">
          <a:avLst/>
        </a:prstGeom>
        <a:noFill/>
        <a:ln w="9525">
          <a:solidFill>
            <a:srgbClr val="000000"/>
          </a:solidFill>
          <a:round/>
          <a:headEnd/>
          <a:tailEnd/>
        </a:ln>
      </xdr:spPr>
    </xdr:sp>
    <xdr:clientData/>
  </xdr:twoCellAnchor>
  <xdr:twoCellAnchor>
    <xdr:from>
      <xdr:col>3</xdr:col>
      <xdr:colOff>400050</xdr:colOff>
      <xdr:row>9</xdr:row>
      <xdr:rowOff>9525</xdr:rowOff>
    </xdr:from>
    <xdr:to>
      <xdr:col>4</xdr:col>
      <xdr:colOff>333375</xdr:colOff>
      <xdr:row>9</xdr:row>
      <xdr:rowOff>9525</xdr:rowOff>
    </xdr:to>
    <xdr:sp macro="" textlink="">
      <xdr:nvSpPr>
        <xdr:cNvPr id="31" name="Line 30"/>
        <xdr:cNvSpPr>
          <a:spLocks noChangeShapeType="1"/>
        </xdr:cNvSpPr>
      </xdr:nvSpPr>
      <xdr:spPr bwMode="auto">
        <a:xfrm>
          <a:off x="2057400" y="1466850"/>
          <a:ext cx="619125" cy="0"/>
        </a:xfrm>
        <a:prstGeom prst="line">
          <a:avLst/>
        </a:prstGeom>
        <a:noFill/>
        <a:ln w="9525">
          <a:solidFill>
            <a:srgbClr val="000000"/>
          </a:solidFill>
          <a:round/>
          <a:headEnd/>
          <a:tailEnd/>
        </a:ln>
      </xdr:spPr>
    </xdr:sp>
    <xdr:clientData/>
  </xdr:twoCellAnchor>
  <xdr:twoCellAnchor>
    <xdr:from>
      <xdr:col>6</xdr:col>
      <xdr:colOff>257175</xdr:colOff>
      <xdr:row>6</xdr:row>
      <xdr:rowOff>85725</xdr:rowOff>
    </xdr:from>
    <xdr:to>
      <xdr:col>6</xdr:col>
      <xdr:colOff>257175</xdr:colOff>
      <xdr:row>8</xdr:row>
      <xdr:rowOff>28575</xdr:rowOff>
    </xdr:to>
    <xdr:sp macro="" textlink="">
      <xdr:nvSpPr>
        <xdr:cNvPr id="32" name="Line 31"/>
        <xdr:cNvSpPr>
          <a:spLocks noChangeShapeType="1"/>
        </xdr:cNvSpPr>
      </xdr:nvSpPr>
      <xdr:spPr bwMode="auto">
        <a:xfrm>
          <a:off x="4019550" y="1057275"/>
          <a:ext cx="0" cy="266700"/>
        </a:xfrm>
        <a:prstGeom prst="line">
          <a:avLst/>
        </a:prstGeom>
        <a:noFill/>
        <a:ln w="9525">
          <a:solidFill>
            <a:srgbClr val="000000"/>
          </a:solidFill>
          <a:round/>
          <a:headEnd/>
          <a:tailEnd/>
        </a:ln>
      </xdr:spPr>
    </xdr:sp>
    <xdr:clientData/>
  </xdr:twoCellAnchor>
  <xdr:twoCellAnchor>
    <xdr:from>
      <xdr:col>6</xdr:col>
      <xdr:colOff>247650</xdr:colOff>
      <xdr:row>9</xdr:row>
      <xdr:rowOff>9525</xdr:rowOff>
    </xdr:from>
    <xdr:to>
      <xdr:col>6</xdr:col>
      <xdr:colOff>247650</xdr:colOff>
      <xdr:row>9</xdr:row>
      <xdr:rowOff>142875</xdr:rowOff>
    </xdr:to>
    <xdr:sp macro="" textlink="">
      <xdr:nvSpPr>
        <xdr:cNvPr id="33" name="Line 32"/>
        <xdr:cNvSpPr>
          <a:spLocks noChangeShapeType="1"/>
        </xdr:cNvSpPr>
      </xdr:nvSpPr>
      <xdr:spPr bwMode="auto">
        <a:xfrm>
          <a:off x="4010025" y="1466850"/>
          <a:ext cx="0" cy="133350"/>
        </a:xfrm>
        <a:prstGeom prst="line">
          <a:avLst/>
        </a:prstGeom>
        <a:noFill/>
        <a:ln w="9525">
          <a:solidFill>
            <a:srgbClr val="000000"/>
          </a:solidFill>
          <a:round/>
          <a:headEnd/>
          <a:tailEnd/>
        </a:ln>
      </xdr:spPr>
    </xdr:sp>
    <xdr:clientData/>
  </xdr:twoCellAnchor>
  <xdr:twoCellAnchor>
    <xdr:from>
      <xdr:col>8</xdr:col>
      <xdr:colOff>295275</xdr:colOff>
      <xdr:row>5</xdr:row>
      <xdr:rowOff>85725</xdr:rowOff>
    </xdr:from>
    <xdr:to>
      <xdr:col>8</xdr:col>
      <xdr:colOff>295275</xdr:colOff>
      <xdr:row>8</xdr:row>
      <xdr:rowOff>28575</xdr:rowOff>
    </xdr:to>
    <xdr:sp macro="" textlink="">
      <xdr:nvSpPr>
        <xdr:cNvPr id="34" name="Line 33"/>
        <xdr:cNvSpPr>
          <a:spLocks noChangeShapeType="1"/>
        </xdr:cNvSpPr>
      </xdr:nvSpPr>
      <xdr:spPr bwMode="auto">
        <a:xfrm>
          <a:off x="5353050" y="895350"/>
          <a:ext cx="0" cy="428625"/>
        </a:xfrm>
        <a:prstGeom prst="line">
          <a:avLst/>
        </a:prstGeom>
        <a:noFill/>
        <a:ln w="9525">
          <a:solidFill>
            <a:srgbClr val="000000"/>
          </a:solidFill>
          <a:round/>
          <a:headEnd/>
          <a:tailEnd/>
        </a:ln>
      </xdr:spPr>
    </xdr:sp>
    <xdr:clientData/>
  </xdr:twoCellAnchor>
  <xdr:twoCellAnchor>
    <xdr:from>
      <xdr:col>8</xdr:col>
      <xdr:colOff>304800</xdr:colOff>
      <xdr:row>8</xdr:row>
      <xdr:rowOff>95250</xdr:rowOff>
    </xdr:from>
    <xdr:to>
      <xdr:col>8</xdr:col>
      <xdr:colOff>304800</xdr:colOff>
      <xdr:row>9</xdr:row>
      <xdr:rowOff>104775</xdr:rowOff>
    </xdr:to>
    <xdr:sp macro="" textlink="">
      <xdr:nvSpPr>
        <xdr:cNvPr id="35" name="Line 34"/>
        <xdr:cNvSpPr>
          <a:spLocks noChangeShapeType="1"/>
        </xdr:cNvSpPr>
      </xdr:nvSpPr>
      <xdr:spPr bwMode="auto">
        <a:xfrm>
          <a:off x="5362575" y="1390650"/>
          <a:ext cx="0" cy="171450"/>
        </a:xfrm>
        <a:prstGeom prst="line">
          <a:avLst/>
        </a:prstGeom>
        <a:noFill/>
        <a:ln w="9525">
          <a:solidFill>
            <a:srgbClr val="000000"/>
          </a:solidFill>
          <a:round/>
          <a:headEnd/>
          <a:tailEnd/>
        </a:ln>
      </xdr:spPr>
    </xdr:sp>
    <xdr:clientData/>
  </xdr:twoCellAnchor>
  <xdr:twoCellAnchor>
    <xdr:from>
      <xdr:col>2</xdr:col>
      <xdr:colOff>9525</xdr:colOff>
      <xdr:row>9</xdr:row>
      <xdr:rowOff>133350</xdr:rowOff>
    </xdr:from>
    <xdr:to>
      <xdr:col>2</xdr:col>
      <xdr:colOff>228600</xdr:colOff>
      <xdr:row>10</xdr:row>
      <xdr:rowOff>95250</xdr:rowOff>
    </xdr:to>
    <xdr:sp macro="" textlink="">
      <xdr:nvSpPr>
        <xdr:cNvPr id="36" name="Line 35"/>
        <xdr:cNvSpPr>
          <a:spLocks noChangeShapeType="1"/>
        </xdr:cNvSpPr>
      </xdr:nvSpPr>
      <xdr:spPr bwMode="auto">
        <a:xfrm>
          <a:off x="962025" y="1590675"/>
          <a:ext cx="219075" cy="123825"/>
        </a:xfrm>
        <a:prstGeom prst="line">
          <a:avLst/>
        </a:prstGeom>
        <a:noFill/>
        <a:ln w="9525">
          <a:solidFill>
            <a:srgbClr val="000000"/>
          </a:solidFill>
          <a:round/>
          <a:headEnd/>
          <a:tailEnd/>
        </a:ln>
      </xdr:spPr>
    </xdr:sp>
    <xdr:clientData/>
  </xdr:twoCellAnchor>
  <xdr:twoCellAnchor>
    <xdr:from>
      <xdr:col>2</xdr:col>
      <xdr:colOff>590550</xdr:colOff>
      <xdr:row>9</xdr:row>
      <xdr:rowOff>142875</xdr:rowOff>
    </xdr:from>
    <xdr:to>
      <xdr:col>2</xdr:col>
      <xdr:colOff>685800</xdr:colOff>
      <xdr:row>10</xdr:row>
      <xdr:rowOff>95250</xdr:rowOff>
    </xdr:to>
    <xdr:sp macro="" textlink="">
      <xdr:nvSpPr>
        <xdr:cNvPr id="37" name="Line 36"/>
        <xdr:cNvSpPr>
          <a:spLocks noChangeShapeType="1"/>
        </xdr:cNvSpPr>
      </xdr:nvSpPr>
      <xdr:spPr bwMode="auto">
        <a:xfrm flipH="1">
          <a:off x="1543050" y="1600200"/>
          <a:ext cx="95250" cy="114300"/>
        </a:xfrm>
        <a:prstGeom prst="line">
          <a:avLst/>
        </a:prstGeom>
        <a:noFill/>
        <a:ln w="9525">
          <a:solidFill>
            <a:srgbClr val="000000"/>
          </a:solidFill>
          <a:round/>
          <a:headEnd/>
          <a:tailEnd/>
        </a:ln>
      </xdr:spPr>
    </xdr:sp>
    <xdr:clientData/>
  </xdr:twoCellAnchor>
  <xdr:twoCellAnchor>
    <xdr:from>
      <xdr:col>1</xdr:col>
      <xdr:colOff>0</xdr:colOff>
      <xdr:row>9</xdr:row>
      <xdr:rowOff>123825</xdr:rowOff>
    </xdr:from>
    <xdr:to>
      <xdr:col>1</xdr:col>
      <xdr:colOff>304800</xdr:colOff>
      <xdr:row>9</xdr:row>
      <xdr:rowOff>133350</xdr:rowOff>
    </xdr:to>
    <xdr:sp macro="" textlink="">
      <xdr:nvSpPr>
        <xdr:cNvPr id="38" name="Line 37"/>
        <xdr:cNvSpPr>
          <a:spLocks noChangeShapeType="1"/>
        </xdr:cNvSpPr>
      </xdr:nvSpPr>
      <xdr:spPr bwMode="auto">
        <a:xfrm flipH="1">
          <a:off x="457200" y="1581150"/>
          <a:ext cx="304800" cy="9525"/>
        </a:xfrm>
        <a:prstGeom prst="line">
          <a:avLst/>
        </a:prstGeom>
        <a:noFill/>
        <a:ln w="9525">
          <a:solidFill>
            <a:srgbClr val="000000"/>
          </a:solidFill>
          <a:round/>
          <a:headEnd/>
          <a:tailEnd/>
        </a:ln>
      </xdr:spPr>
    </xdr:sp>
    <xdr:clientData/>
  </xdr:twoCellAnchor>
  <xdr:twoCellAnchor>
    <xdr:from>
      <xdr:col>2</xdr:col>
      <xdr:colOff>66675</xdr:colOff>
      <xdr:row>4</xdr:row>
      <xdr:rowOff>114300</xdr:rowOff>
    </xdr:from>
    <xdr:to>
      <xdr:col>2</xdr:col>
      <xdr:colOff>342900</xdr:colOff>
      <xdr:row>4</xdr:row>
      <xdr:rowOff>114300</xdr:rowOff>
    </xdr:to>
    <xdr:sp macro="" textlink="">
      <xdr:nvSpPr>
        <xdr:cNvPr id="39" name="Line 38"/>
        <xdr:cNvSpPr>
          <a:spLocks noChangeShapeType="1"/>
        </xdr:cNvSpPr>
      </xdr:nvSpPr>
      <xdr:spPr bwMode="auto">
        <a:xfrm>
          <a:off x="1019175" y="762000"/>
          <a:ext cx="276225" cy="0"/>
        </a:xfrm>
        <a:prstGeom prst="line">
          <a:avLst/>
        </a:prstGeom>
        <a:noFill/>
        <a:ln w="9525">
          <a:solidFill>
            <a:srgbClr val="000000"/>
          </a:solidFill>
          <a:round/>
          <a:headEnd/>
          <a:tailEnd/>
        </a:ln>
      </xdr:spPr>
    </xdr:sp>
    <xdr:clientData/>
  </xdr:twoCellAnchor>
  <xdr:twoCellAnchor>
    <xdr:from>
      <xdr:col>2</xdr:col>
      <xdr:colOff>457200</xdr:colOff>
      <xdr:row>4</xdr:row>
      <xdr:rowOff>114300</xdr:rowOff>
    </xdr:from>
    <xdr:to>
      <xdr:col>3</xdr:col>
      <xdr:colOff>9525</xdr:colOff>
      <xdr:row>4</xdr:row>
      <xdr:rowOff>114300</xdr:rowOff>
    </xdr:to>
    <xdr:sp macro="" textlink="">
      <xdr:nvSpPr>
        <xdr:cNvPr id="40" name="Line 39"/>
        <xdr:cNvSpPr>
          <a:spLocks noChangeShapeType="1"/>
        </xdr:cNvSpPr>
      </xdr:nvSpPr>
      <xdr:spPr bwMode="auto">
        <a:xfrm>
          <a:off x="1409700" y="762000"/>
          <a:ext cx="257175" cy="0"/>
        </a:xfrm>
        <a:prstGeom prst="line">
          <a:avLst/>
        </a:prstGeom>
        <a:noFill/>
        <a:ln w="9525">
          <a:solidFill>
            <a:srgbClr val="000000"/>
          </a:solidFill>
          <a:round/>
          <a:headEnd/>
          <a:tailEnd/>
        </a:ln>
      </xdr:spPr>
    </xdr:sp>
    <xdr:clientData/>
  </xdr:twoCellAnchor>
  <xdr:twoCellAnchor>
    <xdr:from>
      <xdr:col>8</xdr:col>
      <xdr:colOff>619125</xdr:colOff>
      <xdr:row>8</xdr:row>
      <xdr:rowOff>95250</xdr:rowOff>
    </xdr:from>
    <xdr:to>
      <xdr:col>9</xdr:col>
      <xdr:colOff>247650</xdr:colOff>
      <xdr:row>8</xdr:row>
      <xdr:rowOff>95250</xdr:rowOff>
    </xdr:to>
    <xdr:sp macro="" textlink="">
      <xdr:nvSpPr>
        <xdr:cNvPr id="41" name="Line 40"/>
        <xdr:cNvSpPr>
          <a:spLocks noChangeShapeType="1"/>
        </xdr:cNvSpPr>
      </xdr:nvSpPr>
      <xdr:spPr bwMode="auto">
        <a:xfrm>
          <a:off x="5676900" y="1390650"/>
          <a:ext cx="495300" cy="0"/>
        </a:xfrm>
        <a:prstGeom prst="line">
          <a:avLst/>
        </a:prstGeom>
        <a:noFill/>
        <a:ln w="9525">
          <a:solidFill>
            <a:srgbClr val="000000"/>
          </a:solidFill>
          <a:round/>
          <a:headEnd/>
          <a:tailEnd/>
        </a:ln>
      </xdr:spPr>
    </xdr:sp>
    <xdr:clientData/>
  </xdr:twoCellAnchor>
  <xdr:twoCellAnchor>
    <xdr:from>
      <xdr:col>9</xdr:col>
      <xdr:colOff>238125</xdr:colOff>
      <xdr:row>8</xdr:row>
      <xdr:rowOff>104775</xdr:rowOff>
    </xdr:from>
    <xdr:to>
      <xdr:col>9</xdr:col>
      <xdr:colOff>323850</xdr:colOff>
      <xdr:row>9</xdr:row>
      <xdr:rowOff>114300</xdr:rowOff>
    </xdr:to>
    <xdr:sp macro="" textlink="">
      <xdr:nvSpPr>
        <xdr:cNvPr id="42" name="Line 41"/>
        <xdr:cNvSpPr>
          <a:spLocks noChangeShapeType="1"/>
        </xdr:cNvSpPr>
      </xdr:nvSpPr>
      <xdr:spPr bwMode="auto">
        <a:xfrm>
          <a:off x="6162675" y="1400175"/>
          <a:ext cx="85725" cy="171450"/>
        </a:xfrm>
        <a:prstGeom prst="line">
          <a:avLst/>
        </a:prstGeom>
        <a:noFill/>
        <a:ln w="9525">
          <a:solidFill>
            <a:srgbClr val="000000"/>
          </a:solidFill>
          <a:round/>
          <a:headEnd/>
          <a:tailEnd/>
        </a:ln>
      </xdr:spPr>
    </xdr:sp>
    <xdr:clientData/>
  </xdr:twoCellAnchor>
  <xdr:twoCellAnchor>
    <xdr:from>
      <xdr:col>8</xdr:col>
      <xdr:colOff>704850</xdr:colOff>
      <xdr:row>9</xdr:row>
      <xdr:rowOff>123825</xdr:rowOff>
    </xdr:from>
    <xdr:to>
      <xdr:col>9</xdr:col>
      <xdr:colOff>571500</xdr:colOff>
      <xdr:row>9</xdr:row>
      <xdr:rowOff>123825</xdr:rowOff>
    </xdr:to>
    <xdr:sp macro="" textlink="">
      <xdr:nvSpPr>
        <xdr:cNvPr id="43" name="Line 42"/>
        <xdr:cNvSpPr>
          <a:spLocks noChangeShapeType="1"/>
        </xdr:cNvSpPr>
      </xdr:nvSpPr>
      <xdr:spPr bwMode="auto">
        <a:xfrm>
          <a:off x="5762625" y="1581150"/>
          <a:ext cx="733425" cy="0"/>
        </a:xfrm>
        <a:prstGeom prst="line">
          <a:avLst/>
        </a:prstGeom>
        <a:noFill/>
        <a:ln w="9525">
          <a:solidFill>
            <a:srgbClr val="000000"/>
          </a:solidFill>
          <a:round/>
          <a:headEnd/>
          <a:tailEnd/>
        </a:ln>
      </xdr:spPr>
    </xdr:sp>
    <xdr:clientData/>
  </xdr:twoCellAnchor>
  <xdr:twoCellAnchor>
    <xdr:from>
      <xdr:col>9</xdr:col>
      <xdr:colOff>552450</xdr:colOff>
      <xdr:row>9</xdr:row>
      <xdr:rowOff>123825</xdr:rowOff>
    </xdr:from>
    <xdr:to>
      <xdr:col>9</xdr:col>
      <xdr:colOff>676275</xdr:colOff>
      <xdr:row>10</xdr:row>
      <xdr:rowOff>133350</xdr:rowOff>
    </xdr:to>
    <xdr:sp macro="" textlink="">
      <xdr:nvSpPr>
        <xdr:cNvPr id="44" name="Line 43"/>
        <xdr:cNvSpPr>
          <a:spLocks noChangeShapeType="1"/>
        </xdr:cNvSpPr>
      </xdr:nvSpPr>
      <xdr:spPr bwMode="auto">
        <a:xfrm>
          <a:off x="6477000" y="1581150"/>
          <a:ext cx="123825" cy="171450"/>
        </a:xfrm>
        <a:prstGeom prst="line">
          <a:avLst/>
        </a:prstGeom>
        <a:noFill/>
        <a:ln w="9525">
          <a:solidFill>
            <a:srgbClr val="000000"/>
          </a:solidFill>
          <a:round/>
          <a:headEnd/>
          <a:tailEnd/>
        </a:ln>
      </xdr:spPr>
    </xdr:sp>
    <xdr:clientData/>
  </xdr:twoCellAnchor>
  <xdr:twoCellAnchor>
    <xdr:from>
      <xdr:col>9</xdr:col>
      <xdr:colOff>685800</xdr:colOff>
      <xdr:row>10</xdr:row>
      <xdr:rowOff>142875</xdr:rowOff>
    </xdr:from>
    <xdr:to>
      <xdr:col>10</xdr:col>
      <xdr:colOff>295275</xdr:colOff>
      <xdr:row>10</xdr:row>
      <xdr:rowOff>142875</xdr:rowOff>
    </xdr:to>
    <xdr:sp macro="" textlink="">
      <xdr:nvSpPr>
        <xdr:cNvPr id="45" name="Line 44"/>
        <xdr:cNvSpPr>
          <a:spLocks noChangeShapeType="1"/>
        </xdr:cNvSpPr>
      </xdr:nvSpPr>
      <xdr:spPr bwMode="auto">
        <a:xfrm>
          <a:off x="6610350" y="1762125"/>
          <a:ext cx="342900" cy="0"/>
        </a:xfrm>
        <a:prstGeom prst="line">
          <a:avLst/>
        </a:prstGeom>
        <a:noFill/>
        <a:ln w="9525">
          <a:solidFill>
            <a:srgbClr val="000000"/>
          </a:solidFill>
          <a:round/>
          <a:headEnd/>
          <a:tailEnd/>
        </a:ln>
      </xdr:spPr>
    </xdr:sp>
    <xdr:clientData/>
  </xdr:twoCellAnchor>
  <xdr:twoCellAnchor>
    <xdr:from>
      <xdr:col>10</xdr:col>
      <xdr:colOff>295275</xdr:colOff>
      <xdr:row>9</xdr:row>
      <xdr:rowOff>123825</xdr:rowOff>
    </xdr:from>
    <xdr:to>
      <xdr:col>10</xdr:col>
      <xdr:colOff>400050</xdr:colOff>
      <xdr:row>10</xdr:row>
      <xdr:rowOff>152400</xdr:rowOff>
    </xdr:to>
    <xdr:sp macro="" textlink="">
      <xdr:nvSpPr>
        <xdr:cNvPr id="46" name="Line 45"/>
        <xdr:cNvSpPr>
          <a:spLocks noChangeShapeType="1"/>
        </xdr:cNvSpPr>
      </xdr:nvSpPr>
      <xdr:spPr bwMode="auto">
        <a:xfrm flipH="1">
          <a:off x="6953250" y="1581150"/>
          <a:ext cx="104775" cy="190500"/>
        </a:xfrm>
        <a:prstGeom prst="line">
          <a:avLst/>
        </a:prstGeom>
        <a:noFill/>
        <a:ln w="9525">
          <a:solidFill>
            <a:srgbClr val="000000"/>
          </a:solidFill>
          <a:round/>
          <a:headEnd/>
          <a:tailEnd/>
        </a:ln>
      </xdr:spPr>
    </xdr:sp>
    <xdr:clientData/>
  </xdr:twoCellAnchor>
  <xdr:twoCellAnchor>
    <xdr:from>
      <xdr:col>10</xdr:col>
      <xdr:colOff>419100</xdr:colOff>
      <xdr:row>9</xdr:row>
      <xdr:rowOff>133350</xdr:rowOff>
    </xdr:from>
    <xdr:to>
      <xdr:col>10</xdr:col>
      <xdr:colOff>619125</xdr:colOff>
      <xdr:row>9</xdr:row>
      <xdr:rowOff>133350</xdr:rowOff>
    </xdr:to>
    <xdr:sp macro="" textlink="">
      <xdr:nvSpPr>
        <xdr:cNvPr id="47" name="Line 46"/>
        <xdr:cNvSpPr>
          <a:spLocks noChangeShapeType="1"/>
        </xdr:cNvSpPr>
      </xdr:nvSpPr>
      <xdr:spPr bwMode="auto">
        <a:xfrm>
          <a:off x="7077075" y="1590675"/>
          <a:ext cx="200025" cy="0"/>
        </a:xfrm>
        <a:prstGeom prst="line">
          <a:avLst/>
        </a:prstGeom>
        <a:noFill/>
        <a:ln w="9525">
          <a:solidFill>
            <a:srgbClr val="000000"/>
          </a:solidFill>
          <a:round/>
          <a:headEnd/>
          <a:tailEnd/>
        </a:ln>
      </xdr:spPr>
    </xdr:sp>
    <xdr:clientData/>
  </xdr:twoCellAnchor>
  <xdr:twoCellAnchor>
    <xdr:from>
      <xdr:col>8</xdr:col>
      <xdr:colOff>419100</xdr:colOff>
      <xdr:row>9</xdr:row>
      <xdr:rowOff>47625</xdr:rowOff>
    </xdr:from>
    <xdr:to>
      <xdr:col>8</xdr:col>
      <xdr:colOff>685800</xdr:colOff>
      <xdr:row>9</xdr:row>
      <xdr:rowOff>47625</xdr:rowOff>
    </xdr:to>
    <xdr:sp macro="" textlink="">
      <xdr:nvSpPr>
        <xdr:cNvPr id="48" name="Line 47"/>
        <xdr:cNvSpPr>
          <a:spLocks noChangeShapeType="1"/>
        </xdr:cNvSpPr>
      </xdr:nvSpPr>
      <xdr:spPr bwMode="auto">
        <a:xfrm>
          <a:off x="5476875" y="1504950"/>
          <a:ext cx="266700" cy="0"/>
        </a:xfrm>
        <a:prstGeom prst="line">
          <a:avLst/>
        </a:prstGeom>
        <a:noFill/>
        <a:ln w="9525">
          <a:solidFill>
            <a:srgbClr val="000000"/>
          </a:solidFill>
          <a:round/>
          <a:headEnd/>
          <a:tailEnd/>
        </a:ln>
      </xdr:spPr>
    </xdr:sp>
    <xdr:clientData/>
  </xdr:twoCellAnchor>
  <xdr:twoCellAnchor>
    <xdr:from>
      <xdr:col>8</xdr:col>
      <xdr:colOff>381000</xdr:colOff>
      <xdr:row>9</xdr:row>
      <xdr:rowOff>38100</xdr:rowOff>
    </xdr:from>
    <xdr:to>
      <xdr:col>8</xdr:col>
      <xdr:colOff>419100</xdr:colOff>
      <xdr:row>9</xdr:row>
      <xdr:rowOff>123825</xdr:rowOff>
    </xdr:to>
    <xdr:sp macro="" textlink="">
      <xdr:nvSpPr>
        <xdr:cNvPr id="49" name="Line 48"/>
        <xdr:cNvSpPr>
          <a:spLocks noChangeShapeType="1"/>
        </xdr:cNvSpPr>
      </xdr:nvSpPr>
      <xdr:spPr bwMode="auto">
        <a:xfrm flipH="1">
          <a:off x="5438775" y="1495425"/>
          <a:ext cx="38100" cy="85725"/>
        </a:xfrm>
        <a:prstGeom prst="line">
          <a:avLst/>
        </a:prstGeom>
        <a:noFill/>
        <a:ln w="9525">
          <a:solidFill>
            <a:srgbClr val="000000"/>
          </a:solidFill>
          <a:round/>
          <a:headEnd/>
          <a:tailEnd/>
        </a:ln>
      </xdr:spPr>
    </xdr:sp>
    <xdr:clientData/>
  </xdr:twoCellAnchor>
  <xdr:twoCellAnchor>
    <xdr:from>
      <xdr:col>3</xdr:col>
      <xdr:colOff>571500</xdr:colOff>
      <xdr:row>15</xdr:row>
      <xdr:rowOff>57150</xdr:rowOff>
    </xdr:from>
    <xdr:to>
      <xdr:col>3</xdr:col>
      <xdr:colOff>657225</xdr:colOff>
      <xdr:row>15</xdr:row>
      <xdr:rowOff>133350</xdr:rowOff>
    </xdr:to>
    <xdr:sp macro="" textlink="">
      <xdr:nvSpPr>
        <xdr:cNvPr id="50" name="Line 49"/>
        <xdr:cNvSpPr>
          <a:spLocks noChangeShapeType="1"/>
        </xdr:cNvSpPr>
      </xdr:nvSpPr>
      <xdr:spPr bwMode="auto">
        <a:xfrm>
          <a:off x="2228850" y="2486025"/>
          <a:ext cx="85725" cy="76200"/>
        </a:xfrm>
        <a:prstGeom prst="line">
          <a:avLst/>
        </a:prstGeom>
        <a:noFill/>
        <a:ln w="9525">
          <a:solidFill>
            <a:srgbClr val="000000"/>
          </a:solidFill>
          <a:round/>
          <a:headEnd/>
          <a:tailEnd/>
        </a:ln>
      </xdr:spPr>
    </xdr:sp>
    <xdr:clientData/>
  </xdr:twoCellAnchor>
  <xdr:twoCellAnchor>
    <xdr:from>
      <xdr:col>3</xdr:col>
      <xdr:colOff>571500</xdr:colOff>
      <xdr:row>15</xdr:row>
      <xdr:rowOff>47625</xdr:rowOff>
    </xdr:from>
    <xdr:to>
      <xdr:col>3</xdr:col>
      <xdr:colOff>638175</xdr:colOff>
      <xdr:row>15</xdr:row>
      <xdr:rowOff>123825</xdr:rowOff>
    </xdr:to>
    <xdr:sp macro="" textlink="">
      <xdr:nvSpPr>
        <xdr:cNvPr id="51" name="Line 50"/>
        <xdr:cNvSpPr>
          <a:spLocks noChangeShapeType="1"/>
        </xdr:cNvSpPr>
      </xdr:nvSpPr>
      <xdr:spPr bwMode="auto">
        <a:xfrm flipV="1">
          <a:off x="2228850" y="2476500"/>
          <a:ext cx="66675" cy="76200"/>
        </a:xfrm>
        <a:prstGeom prst="line">
          <a:avLst/>
        </a:prstGeom>
        <a:noFill/>
        <a:ln w="9525">
          <a:solidFill>
            <a:srgbClr val="000000"/>
          </a:solidFill>
          <a:round/>
          <a:headEnd/>
          <a:tailEnd/>
        </a:ln>
      </xdr:spPr>
    </xdr:sp>
    <xdr:clientData/>
  </xdr:twoCellAnchor>
  <xdr:twoCellAnchor>
    <xdr:from>
      <xdr:col>6</xdr:col>
      <xdr:colOff>685800</xdr:colOff>
      <xdr:row>15</xdr:row>
      <xdr:rowOff>57150</xdr:rowOff>
    </xdr:from>
    <xdr:to>
      <xdr:col>7</xdr:col>
      <xdr:colOff>57150</xdr:colOff>
      <xdr:row>15</xdr:row>
      <xdr:rowOff>152400</xdr:rowOff>
    </xdr:to>
    <xdr:sp macro="" textlink="">
      <xdr:nvSpPr>
        <xdr:cNvPr id="52" name="Line 51"/>
        <xdr:cNvSpPr>
          <a:spLocks noChangeShapeType="1"/>
        </xdr:cNvSpPr>
      </xdr:nvSpPr>
      <xdr:spPr bwMode="auto">
        <a:xfrm>
          <a:off x="4448175" y="2486025"/>
          <a:ext cx="133350" cy="95250"/>
        </a:xfrm>
        <a:prstGeom prst="line">
          <a:avLst/>
        </a:prstGeom>
        <a:noFill/>
        <a:ln w="9525">
          <a:solidFill>
            <a:srgbClr val="000000"/>
          </a:solidFill>
          <a:round/>
          <a:headEnd/>
          <a:tailEnd/>
        </a:ln>
      </xdr:spPr>
    </xdr:sp>
    <xdr:clientData/>
  </xdr:twoCellAnchor>
  <xdr:twoCellAnchor>
    <xdr:from>
      <xdr:col>6</xdr:col>
      <xdr:colOff>685800</xdr:colOff>
      <xdr:row>15</xdr:row>
      <xdr:rowOff>38100</xdr:rowOff>
    </xdr:from>
    <xdr:to>
      <xdr:col>7</xdr:col>
      <xdr:colOff>38100</xdr:colOff>
      <xdr:row>15</xdr:row>
      <xdr:rowOff>133350</xdr:rowOff>
    </xdr:to>
    <xdr:sp macro="" textlink="">
      <xdr:nvSpPr>
        <xdr:cNvPr id="53" name="Line 52"/>
        <xdr:cNvSpPr>
          <a:spLocks noChangeShapeType="1"/>
        </xdr:cNvSpPr>
      </xdr:nvSpPr>
      <xdr:spPr bwMode="auto">
        <a:xfrm flipV="1">
          <a:off x="4448175" y="2466975"/>
          <a:ext cx="114300" cy="95250"/>
        </a:xfrm>
        <a:prstGeom prst="line">
          <a:avLst/>
        </a:prstGeom>
        <a:noFill/>
        <a:ln w="9525">
          <a:solidFill>
            <a:srgbClr val="000000"/>
          </a:solidFill>
          <a:round/>
          <a:headEnd/>
          <a:tailEnd/>
        </a:ln>
      </xdr:spPr>
    </xdr:sp>
    <xdr:clientData/>
  </xdr:twoCellAnchor>
  <xdr:twoCellAnchor>
    <xdr:from>
      <xdr:col>2</xdr:col>
      <xdr:colOff>47625</xdr:colOff>
      <xdr:row>5</xdr:row>
      <xdr:rowOff>66675</xdr:rowOff>
    </xdr:from>
    <xdr:to>
      <xdr:col>3</xdr:col>
      <xdr:colOff>9525</xdr:colOff>
      <xdr:row>5</xdr:row>
      <xdr:rowOff>66675</xdr:rowOff>
    </xdr:to>
    <xdr:sp macro="" textlink="">
      <xdr:nvSpPr>
        <xdr:cNvPr id="54" name="Line 53"/>
        <xdr:cNvSpPr>
          <a:spLocks noChangeShapeType="1"/>
        </xdr:cNvSpPr>
      </xdr:nvSpPr>
      <xdr:spPr bwMode="auto">
        <a:xfrm>
          <a:off x="1000125" y="876300"/>
          <a:ext cx="666750" cy="0"/>
        </a:xfrm>
        <a:prstGeom prst="line">
          <a:avLst/>
        </a:prstGeom>
        <a:noFill/>
        <a:ln w="9525">
          <a:solidFill>
            <a:srgbClr val="000000"/>
          </a:solidFill>
          <a:round/>
          <a:headEnd/>
          <a:tailEnd/>
        </a:ln>
      </xdr:spPr>
    </xdr:sp>
    <xdr:clientData/>
  </xdr:twoCellAnchor>
  <xdr:twoCellAnchor>
    <xdr:from>
      <xdr:col>1</xdr:col>
      <xdr:colOff>304800</xdr:colOff>
      <xdr:row>5</xdr:row>
      <xdr:rowOff>57150</xdr:rowOff>
    </xdr:from>
    <xdr:to>
      <xdr:col>2</xdr:col>
      <xdr:colOff>47625</xdr:colOff>
      <xdr:row>9</xdr:row>
      <xdr:rowOff>133350</xdr:rowOff>
    </xdr:to>
    <xdr:sp macro="" textlink="">
      <xdr:nvSpPr>
        <xdr:cNvPr id="55" name="Line 54"/>
        <xdr:cNvSpPr>
          <a:spLocks noChangeShapeType="1"/>
        </xdr:cNvSpPr>
      </xdr:nvSpPr>
      <xdr:spPr bwMode="auto">
        <a:xfrm flipV="1">
          <a:off x="762000" y="866775"/>
          <a:ext cx="238125" cy="723900"/>
        </a:xfrm>
        <a:prstGeom prst="line">
          <a:avLst/>
        </a:prstGeom>
        <a:noFill/>
        <a:ln w="9525">
          <a:solidFill>
            <a:srgbClr val="000000"/>
          </a:solidFill>
          <a:round/>
          <a:headEnd/>
          <a:tailEnd/>
        </a:ln>
      </xdr:spPr>
    </xdr:sp>
    <xdr:clientData/>
  </xdr:twoCellAnchor>
  <xdr:twoCellAnchor>
    <xdr:from>
      <xdr:col>3</xdr:col>
      <xdr:colOff>19050</xdr:colOff>
      <xdr:row>5</xdr:row>
      <xdr:rowOff>76200</xdr:rowOff>
    </xdr:from>
    <xdr:to>
      <xdr:col>3</xdr:col>
      <xdr:colOff>419100</xdr:colOff>
      <xdr:row>9</xdr:row>
      <xdr:rowOff>123825</xdr:rowOff>
    </xdr:to>
    <xdr:sp macro="" textlink="">
      <xdr:nvSpPr>
        <xdr:cNvPr id="56" name="Line 55"/>
        <xdr:cNvSpPr>
          <a:spLocks noChangeShapeType="1"/>
        </xdr:cNvSpPr>
      </xdr:nvSpPr>
      <xdr:spPr bwMode="auto">
        <a:xfrm>
          <a:off x="1676400" y="885825"/>
          <a:ext cx="400050" cy="695325"/>
        </a:xfrm>
        <a:prstGeom prst="line">
          <a:avLst/>
        </a:prstGeom>
        <a:noFill/>
        <a:ln w="9525">
          <a:solidFill>
            <a:srgbClr val="000000"/>
          </a:solidFill>
          <a:round/>
          <a:headEnd/>
          <a:tailEnd/>
        </a:ln>
      </xdr:spPr>
    </xdr:sp>
    <xdr:clientData/>
  </xdr:twoCellAnchor>
  <xdr:twoCellAnchor>
    <xdr:from>
      <xdr:col>1</xdr:col>
      <xdr:colOff>323850</xdr:colOff>
      <xdr:row>9</xdr:row>
      <xdr:rowOff>133350</xdr:rowOff>
    </xdr:from>
    <xdr:to>
      <xdr:col>2</xdr:col>
      <xdr:colOff>9525</xdr:colOff>
      <xdr:row>9</xdr:row>
      <xdr:rowOff>133350</xdr:rowOff>
    </xdr:to>
    <xdr:sp macro="" textlink="">
      <xdr:nvSpPr>
        <xdr:cNvPr id="57" name="Line 56"/>
        <xdr:cNvSpPr>
          <a:spLocks noChangeShapeType="1"/>
        </xdr:cNvSpPr>
      </xdr:nvSpPr>
      <xdr:spPr bwMode="auto">
        <a:xfrm>
          <a:off x="781050" y="1590675"/>
          <a:ext cx="180975" cy="0"/>
        </a:xfrm>
        <a:prstGeom prst="line">
          <a:avLst/>
        </a:prstGeom>
        <a:noFill/>
        <a:ln w="9525">
          <a:solidFill>
            <a:srgbClr val="000000"/>
          </a:solidFill>
          <a:round/>
          <a:headEnd/>
          <a:tailEnd/>
        </a:ln>
      </xdr:spPr>
    </xdr:sp>
    <xdr:clientData/>
  </xdr:twoCellAnchor>
  <xdr:twoCellAnchor>
    <xdr:from>
      <xdr:col>2</xdr:col>
      <xdr:colOff>695325</xdr:colOff>
      <xdr:row>9</xdr:row>
      <xdr:rowOff>123825</xdr:rowOff>
    </xdr:from>
    <xdr:to>
      <xdr:col>3</xdr:col>
      <xdr:colOff>400050</xdr:colOff>
      <xdr:row>9</xdr:row>
      <xdr:rowOff>133350</xdr:rowOff>
    </xdr:to>
    <xdr:sp macro="" textlink="">
      <xdr:nvSpPr>
        <xdr:cNvPr id="58" name="Line 57"/>
        <xdr:cNvSpPr>
          <a:spLocks noChangeShapeType="1"/>
        </xdr:cNvSpPr>
      </xdr:nvSpPr>
      <xdr:spPr bwMode="auto">
        <a:xfrm flipV="1">
          <a:off x="1647825" y="1581150"/>
          <a:ext cx="409575" cy="9525"/>
        </a:xfrm>
        <a:prstGeom prst="line">
          <a:avLst/>
        </a:prstGeom>
        <a:noFill/>
        <a:ln w="9525">
          <a:solidFill>
            <a:srgbClr val="000000"/>
          </a:solidFill>
          <a:round/>
          <a:headEnd/>
          <a:tailEnd/>
        </a:ln>
      </xdr:spPr>
    </xdr:sp>
    <xdr:clientData/>
  </xdr:twoCellAnchor>
  <xdr:twoCellAnchor>
    <xdr:from>
      <xdr:col>33</xdr:col>
      <xdr:colOff>342900</xdr:colOff>
      <xdr:row>15</xdr:row>
      <xdr:rowOff>76200</xdr:rowOff>
    </xdr:from>
    <xdr:to>
      <xdr:col>33</xdr:col>
      <xdr:colOff>476250</xdr:colOff>
      <xdr:row>16</xdr:row>
      <xdr:rowOff>133350</xdr:rowOff>
    </xdr:to>
    <xdr:sp macro="" textlink="">
      <xdr:nvSpPr>
        <xdr:cNvPr id="59" name="Line 58"/>
        <xdr:cNvSpPr>
          <a:spLocks noChangeShapeType="1"/>
        </xdr:cNvSpPr>
      </xdr:nvSpPr>
      <xdr:spPr bwMode="auto">
        <a:xfrm>
          <a:off x="24117300" y="2505075"/>
          <a:ext cx="133350" cy="219075"/>
        </a:xfrm>
        <a:prstGeom prst="line">
          <a:avLst/>
        </a:prstGeom>
        <a:noFill/>
        <a:ln w="9525">
          <a:solidFill>
            <a:srgbClr val="000000"/>
          </a:solidFill>
          <a:round/>
          <a:headEnd/>
          <a:tailEnd/>
        </a:ln>
      </xdr:spPr>
    </xdr:sp>
    <xdr:clientData/>
  </xdr:twoCellAnchor>
  <xdr:twoCellAnchor>
    <xdr:from>
      <xdr:col>2</xdr:col>
      <xdr:colOff>247650</xdr:colOff>
      <xdr:row>10</xdr:row>
      <xdr:rowOff>76200</xdr:rowOff>
    </xdr:from>
    <xdr:to>
      <xdr:col>2</xdr:col>
      <xdr:colOff>542925</xdr:colOff>
      <xdr:row>10</xdr:row>
      <xdr:rowOff>76200</xdr:rowOff>
    </xdr:to>
    <xdr:sp macro="" textlink="">
      <xdr:nvSpPr>
        <xdr:cNvPr id="60" name="Line 59"/>
        <xdr:cNvSpPr>
          <a:spLocks noChangeShapeType="1"/>
        </xdr:cNvSpPr>
      </xdr:nvSpPr>
      <xdr:spPr bwMode="auto">
        <a:xfrm>
          <a:off x="1200150" y="1695450"/>
          <a:ext cx="295275" cy="0"/>
        </a:xfrm>
        <a:prstGeom prst="line">
          <a:avLst/>
        </a:prstGeom>
        <a:noFill/>
        <a:ln w="9525">
          <a:solidFill>
            <a:srgbClr val="000000"/>
          </a:solidFill>
          <a:round/>
          <a:headEnd/>
          <a:tailEnd/>
        </a:ln>
      </xdr:spPr>
    </xdr:sp>
    <xdr:clientData/>
  </xdr:twoCellAnchor>
  <xdr:twoCellAnchor>
    <xdr:from>
      <xdr:col>52</xdr:col>
      <xdr:colOff>228600</xdr:colOff>
      <xdr:row>13</xdr:row>
      <xdr:rowOff>95250</xdr:rowOff>
    </xdr:from>
    <xdr:to>
      <xdr:col>52</xdr:col>
      <xdr:colOff>438150</xdr:colOff>
      <xdr:row>15</xdr:row>
      <xdr:rowOff>0</xdr:rowOff>
    </xdr:to>
    <xdr:sp macro="" textlink="">
      <xdr:nvSpPr>
        <xdr:cNvPr id="61" name="Line 60"/>
        <xdr:cNvSpPr>
          <a:spLocks noChangeShapeType="1"/>
        </xdr:cNvSpPr>
      </xdr:nvSpPr>
      <xdr:spPr bwMode="auto">
        <a:xfrm flipV="1">
          <a:off x="37938075" y="2200275"/>
          <a:ext cx="209550" cy="228600"/>
        </a:xfrm>
        <a:prstGeom prst="line">
          <a:avLst/>
        </a:prstGeom>
        <a:noFill/>
        <a:ln w="9525">
          <a:solidFill>
            <a:srgbClr val="000000"/>
          </a:solidFill>
          <a:round/>
          <a:headEnd/>
          <a:tailEnd/>
        </a:ln>
      </xdr:spPr>
    </xdr:sp>
    <xdr:clientData/>
  </xdr:twoCellAnchor>
  <xdr:twoCellAnchor>
    <xdr:from>
      <xdr:col>1</xdr:col>
      <xdr:colOff>342900</xdr:colOff>
      <xdr:row>11</xdr:row>
      <xdr:rowOff>57150</xdr:rowOff>
    </xdr:from>
    <xdr:to>
      <xdr:col>2</xdr:col>
      <xdr:colOff>266700</xdr:colOff>
      <xdr:row>11</xdr:row>
      <xdr:rowOff>57150</xdr:rowOff>
    </xdr:to>
    <xdr:sp macro="" textlink="">
      <xdr:nvSpPr>
        <xdr:cNvPr id="62" name="Line 61"/>
        <xdr:cNvSpPr>
          <a:spLocks noChangeShapeType="1"/>
        </xdr:cNvSpPr>
      </xdr:nvSpPr>
      <xdr:spPr bwMode="auto">
        <a:xfrm>
          <a:off x="800100" y="1838325"/>
          <a:ext cx="419100" cy="0"/>
        </a:xfrm>
        <a:prstGeom prst="line">
          <a:avLst/>
        </a:prstGeom>
        <a:noFill/>
        <a:ln w="9525">
          <a:solidFill>
            <a:srgbClr val="000000"/>
          </a:solidFill>
          <a:round/>
          <a:headEnd/>
          <a:tailEnd/>
        </a:ln>
      </xdr:spPr>
    </xdr:sp>
    <xdr:clientData/>
  </xdr:twoCellAnchor>
  <xdr:twoCellAnchor>
    <xdr:from>
      <xdr:col>2</xdr:col>
      <xdr:colOff>447675</xdr:colOff>
      <xdr:row>11</xdr:row>
      <xdr:rowOff>66675</xdr:rowOff>
    </xdr:from>
    <xdr:to>
      <xdr:col>3</xdr:col>
      <xdr:colOff>400050</xdr:colOff>
      <xdr:row>11</xdr:row>
      <xdr:rowOff>76200</xdr:rowOff>
    </xdr:to>
    <xdr:sp macro="" textlink="">
      <xdr:nvSpPr>
        <xdr:cNvPr id="63" name="Line 62"/>
        <xdr:cNvSpPr>
          <a:spLocks noChangeShapeType="1"/>
        </xdr:cNvSpPr>
      </xdr:nvSpPr>
      <xdr:spPr bwMode="auto">
        <a:xfrm flipV="1">
          <a:off x="1400175" y="1847850"/>
          <a:ext cx="657225" cy="9525"/>
        </a:xfrm>
        <a:prstGeom prst="line">
          <a:avLst/>
        </a:prstGeom>
        <a:noFill/>
        <a:ln w="9525">
          <a:solidFill>
            <a:srgbClr val="000000"/>
          </a:solidFill>
          <a:round/>
          <a:headEnd/>
          <a:tailEnd/>
        </a:ln>
      </xdr:spPr>
    </xdr:sp>
    <xdr:clientData/>
  </xdr:twoCellAnchor>
  <xdr:twoCellAnchor>
    <xdr:from>
      <xdr:col>1</xdr:col>
      <xdr:colOff>314325</xdr:colOff>
      <xdr:row>11</xdr:row>
      <xdr:rowOff>19050</xdr:rowOff>
    </xdr:from>
    <xdr:to>
      <xdr:col>1</xdr:col>
      <xdr:colOff>352425</xdr:colOff>
      <xdr:row>11</xdr:row>
      <xdr:rowOff>95250</xdr:rowOff>
    </xdr:to>
    <xdr:sp macro="" textlink="">
      <xdr:nvSpPr>
        <xdr:cNvPr id="64" name="Line 63"/>
        <xdr:cNvSpPr>
          <a:spLocks noChangeShapeType="1"/>
        </xdr:cNvSpPr>
      </xdr:nvSpPr>
      <xdr:spPr bwMode="auto">
        <a:xfrm flipH="1">
          <a:off x="771525" y="1800225"/>
          <a:ext cx="38100" cy="76200"/>
        </a:xfrm>
        <a:prstGeom prst="line">
          <a:avLst/>
        </a:prstGeom>
        <a:noFill/>
        <a:ln w="9525">
          <a:solidFill>
            <a:srgbClr val="000000"/>
          </a:solidFill>
          <a:round/>
          <a:headEnd/>
          <a:tailEnd/>
        </a:ln>
      </xdr:spPr>
    </xdr:sp>
    <xdr:clientData/>
  </xdr:twoCellAnchor>
  <xdr:twoCellAnchor>
    <xdr:from>
      <xdr:col>3</xdr:col>
      <xdr:colOff>361950</xdr:colOff>
      <xdr:row>11</xdr:row>
      <xdr:rowOff>38100</xdr:rowOff>
    </xdr:from>
    <xdr:to>
      <xdr:col>3</xdr:col>
      <xdr:colOff>419100</xdr:colOff>
      <xdr:row>11</xdr:row>
      <xdr:rowOff>123825</xdr:rowOff>
    </xdr:to>
    <xdr:sp macro="" textlink="">
      <xdr:nvSpPr>
        <xdr:cNvPr id="65" name="Line 64"/>
        <xdr:cNvSpPr>
          <a:spLocks noChangeShapeType="1"/>
        </xdr:cNvSpPr>
      </xdr:nvSpPr>
      <xdr:spPr bwMode="auto">
        <a:xfrm flipH="1">
          <a:off x="2019300" y="1819275"/>
          <a:ext cx="57150" cy="85725"/>
        </a:xfrm>
        <a:prstGeom prst="line">
          <a:avLst/>
        </a:prstGeom>
        <a:noFill/>
        <a:ln w="9525">
          <a:solidFill>
            <a:srgbClr val="000000"/>
          </a:solidFill>
          <a:round/>
          <a:headEnd/>
          <a:tailEnd/>
        </a:ln>
      </xdr:spPr>
    </xdr:sp>
    <xdr:clientData/>
  </xdr:twoCellAnchor>
  <xdr:twoCellAnchor>
    <xdr:from>
      <xdr:col>3</xdr:col>
      <xdr:colOff>142875</xdr:colOff>
      <xdr:row>6</xdr:row>
      <xdr:rowOff>76200</xdr:rowOff>
    </xdr:from>
    <xdr:to>
      <xdr:col>6</xdr:col>
      <xdr:colOff>400050</xdr:colOff>
      <xdr:row>6</xdr:row>
      <xdr:rowOff>76200</xdr:rowOff>
    </xdr:to>
    <xdr:sp macro="" textlink="">
      <xdr:nvSpPr>
        <xdr:cNvPr id="66" name="Line 65"/>
        <xdr:cNvSpPr>
          <a:spLocks noChangeShapeType="1"/>
        </xdr:cNvSpPr>
      </xdr:nvSpPr>
      <xdr:spPr bwMode="auto">
        <a:xfrm>
          <a:off x="1800225" y="1047750"/>
          <a:ext cx="2362200" cy="0"/>
        </a:xfrm>
        <a:prstGeom prst="line">
          <a:avLst/>
        </a:prstGeom>
        <a:noFill/>
        <a:ln w="9525">
          <a:solidFill>
            <a:srgbClr val="000000"/>
          </a:solidFill>
          <a:round/>
          <a:headEnd/>
          <a:tailEnd/>
        </a:ln>
      </xdr:spPr>
    </xdr:sp>
    <xdr:clientData/>
  </xdr:twoCellAnchor>
  <xdr:twoCellAnchor>
    <xdr:from>
      <xdr:col>34</xdr:col>
      <xdr:colOff>304800</xdr:colOff>
      <xdr:row>19</xdr:row>
      <xdr:rowOff>0</xdr:rowOff>
    </xdr:from>
    <xdr:to>
      <xdr:col>34</xdr:col>
      <xdr:colOff>428625</xdr:colOff>
      <xdr:row>19</xdr:row>
      <xdr:rowOff>9525</xdr:rowOff>
    </xdr:to>
    <xdr:sp macro="" textlink="">
      <xdr:nvSpPr>
        <xdr:cNvPr id="67" name="Line 66"/>
        <xdr:cNvSpPr>
          <a:spLocks noChangeShapeType="1"/>
        </xdr:cNvSpPr>
      </xdr:nvSpPr>
      <xdr:spPr bwMode="auto">
        <a:xfrm>
          <a:off x="24812625" y="3076575"/>
          <a:ext cx="123825" cy="9525"/>
        </a:xfrm>
        <a:prstGeom prst="line">
          <a:avLst/>
        </a:prstGeom>
        <a:noFill/>
        <a:ln w="9525">
          <a:solidFill>
            <a:srgbClr val="000000"/>
          </a:solidFill>
          <a:round/>
          <a:headEnd/>
          <a:tailEnd/>
        </a:ln>
      </xdr:spPr>
    </xdr:sp>
    <xdr:clientData/>
  </xdr:twoCellAnchor>
  <xdr:twoCellAnchor>
    <xdr:from>
      <xdr:col>3</xdr:col>
      <xdr:colOff>390525</xdr:colOff>
      <xdr:row>9</xdr:row>
      <xdr:rowOff>114300</xdr:rowOff>
    </xdr:from>
    <xdr:to>
      <xdr:col>4</xdr:col>
      <xdr:colOff>381000</xdr:colOff>
      <xdr:row>9</xdr:row>
      <xdr:rowOff>114300</xdr:rowOff>
    </xdr:to>
    <xdr:sp macro="" textlink="">
      <xdr:nvSpPr>
        <xdr:cNvPr id="68" name="Line 67"/>
        <xdr:cNvSpPr>
          <a:spLocks noChangeShapeType="1"/>
        </xdr:cNvSpPr>
      </xdr:nvSpPr>
      <xdr:spPr bwMode="auto">
        <a:xfrm>
          <a:off x="2047875" y="1571625"/>
          <a:ext cx="676275" cy="0"/>
        </a:xfrm>
        <a:prstGeom prst="line">
          <a:avLst/>
        </a:prstGeom>
        <a:noFill/>
        <a:ln w="9525">
          <a:solidFill>
            <a:srgbClr val="000000"/>
          </a:solidFill>
          <a:round/>
          <a:headEnd/>
          <a:tailEnd/>
        </a:ln>
      </xdr:spPr>
    </xdr:sp>
    <xdr:clientData/>
  </xdr:twoCellAnchor>
  <xdr:twoCellAnchor>
    <xdr:from>
      <xdr:col>4</xdr:col>
      <xdr:colOff>361950</xdr:colOff>
      <xdr:row>9</xdr:row>
      <xdr:rowOff>114300</xdr:rowOff>
    </xdr:from>
    <xdr:to>
      <xdr:col>4</xdr:col>
      <xdr:colOff>495300</xdr:colOff>
      <xdr:row>11</xdr:row>
      <xdr:rowOff>28575</xdr:rowOff>
    </xdr:to>
    <xdr:sp macro="" textlink="">
      <xdr:nvSpPr>
        <xdr:cNvPr id="69" name="Line 68"/>
        <xdr:cNvSpPr>
          <a:spLocks noChangeShapeType="1"/>
        </xdr:cNvSpPr>
      </xdr:nvSpPr>
      <xdr:spPr bwMode="auto">
        <a:xfrm>
          <a:off x="2705100" y="1571625"/>
          <a:ext cx="133350" cy="238125"/>
        </a:xfrm>
        <a:prstGeom prst="line">
          <a:avLst/>
        </a:prstGeom>
        <a:noFill/>
        <a:ln w="9525">
          <a:solidFill>
            <a:srgbClr val="000000"/>
          </a:solidFill>
          <a:round/>
          <a:headEnd/>
          <a:tailEnd/>
        </a:ln>
      </xdr:spPr>
    </xdr:sp>
    <xdr:clientData/>
  </xdr:twoCellAnchor>
  <xdr:twoCellAnchor>
    <xdr:from>
      <xdr:col>4</xdr:col>
      <xdr:colOff>485775</xdr:colOff>
      <xdr:row>11</xdr:row>
      <xdr:rowOff>38100</xdr:rowOff>
    </xdr:from>
    <xdr:to>
      <xdr:col>5</xdr:col>
      <xdr:colOff>657225</xdr:colOff>
      <xdr:row>11</xdr:row>
      <xdr:rowOff>38100</xdr:rowOff>
    </xdr:to>
    <xdr:sp macro="" textlink="">
      <xdr:nvSpPr>
        <xdr:cNvPr id="70" name="Line 69"/>
        <xdr:cNvSpPr>
          <a:spLocks noChangeShapeType="1"/>
        </xdr:cNvSpPr>
      </xdr:nvSpPr>
      <xdr:spPr bwMode="auto">
        <a:xfrm>
          <a:off x="2828925" y="1819275"/>
          <a:ext cx="752475" cy="0"/>
        </a:xfrm>
        <a:prstGeom prst="line">
          <a:avLst/>
        </a:prstGeom>
        <a:noFill/>
        <a:ln w="9525">
          <a:solidFill>
            <a:srgbClr val="000000"/>
          </a:solidFill>
          <a:round/>
          <a:headEnd/>
          <a:tailEnd/>
        </a:ln>
      </xdr:spPr>
    </xdr:sp>
    <xdr:clientData/>
  </xdr:twoCellAnchor>
  <xdr:twoCellAnchor>
    <xdr:from>
      <xdr:col>5</xdr:col>
      <xdr:colOff>628650</xdr:colOff>
      <xdr:row>9</xdr:row>
      <xdr:rowOff>133350</xdr:rowOff>
    </xdr:from>
    <xdr:to>
      <xdr:col>6</xdr:col>
      <xdr:colOff>19050</xdr:colOff>
      <xdr:row>11</xdr:row>
      <xdr:rowOff>47625</xdr:rowOff>
    </xdr:to>
    <xdr:sp macro="" textlink="">
      <xdr:nvSpPr>
        <xdr:cNvPr id="71" name="Line 70"/>
        <xdr:cNvSpPr>
          <a:spLocks noChangeShapeType="1"/>
        </xdr:cNvSpPr>
      </xdr:nvSpPr>
      <xdr:spPr bwMode="auto">
        <a:xfrm flipH="1">
          <a:off x="3552825" y="1590675"/>
          <a:ext cx="228600" cy="238125"/>
        </a:xfrm>
        <a:prstGeom prst="line">
          <a:avLst/>
        </a:prstGeom>
        <a:noFill/>
        <a:ln w="9525">
          <a:solidFill>
            <a:srgbClr val="000000"/>
          </a:solidFill>
          <a:round/>
          <a:headEnd/>
          <a:tailEnd/>
        </a:ln>
      </xdr:spPr>
    </xdr:sp>
    <xdr:clientData/>
  </xdr:twoCellAnchor>
  <xdr:twoCellAnchor>
    <xdr:from>
      <xdr:col>6</xdr:col>
      <xdr:colOff>28575</xdr:colOff>
      <xdr:row>9</xdr:row>
      <xdr:rowOff>142875</xdr:rowOff>
    </xdr:from>
    <xdr:to>
      <xdr:col>6</xdr:col>
      <xdr:colOff>628650</xdr:colOff>
      <xdr:row>9</xdr:row>
      <xdr:rowOff>142875</xdr:rowOff>
    </xdr:to>
    <xdr:sp macro="" textlink="">
      <xdr:nvSpPr>
        <xdr:cNvPr id="72" name="Line 71"/>
        <xdr:cNvSpPr>
          <a:spLocks noChangeShapeType="1"/>
        </xdr:cNvSpPr>
      </xdr:nvSpPr>
      <xdr:spPr bwMode="auto">
        <a:xfrm>
          <a:off x="3790950" y="1600200"/>
          <a:ext cx="600075" cy="0"/>
        </a:xfrm>
        <a:prstGeom prst="line">
          <a:avLst/>
        </a:prstGeom>
        <a:noFill/>
        <a:ln w="9525">
          <a:solidFill>
            <a:srgbClr val="000000"/>
          </a:solidFill>
          <a:round/>
          <a:headEnd/>
          <a:tailEnd/>
        </a:ln>
      </xdr:spPr>
    </xdr:sp>
    <xdr:clientData/>
  </xdr:twoCellAnchor>
  <xdr:twoCellAnchor>
    <xdr:from>
      <xdr:col>6</xdr:col>
      <xdr:colOff>647700</xdr:colOff>
      <xdr:row>5</xdr:row>
      <xdr:rowOff>76200</xdr:rowOff>
    </xdr:from>
    <xdr:to>
      <xdr:col>7</xdr:col>
      <xdr:colOff>390525</xdr:colOff>
      <xdr:row>9</xdr:row>
      <xdr:rowOff>142875</xdr:rowOff>
    </xdr:to>
    <xdr:sp macro="" textlink="">
      <xdr:nvSpPr>
        <xdr:cNvPr id="73" name="Line 72"/>
        <xdr:cNvSpPr>
          <a:spLocks noChangeShapeType="1"/>
        </xdr:cNvSpPr>
      </xdr:nvSpPr>
      <xdr:spPr bwMode="auto">
        <a:xfrm flipV="1">
          <a:off x="4410075" y="885825"/>
          <a:ext cx="504825" cy="714375"/>
        </a:xfrm>
        <a:prstGeom prst="line">
          <a:avLst/>
        </a:prstGeom>
        <a:noFill/>
        <a:ln w="9525">
          <a:solidFill>
            <a:srgbClr val="000000"/>
          </a:solidFill>
          <a:round/>
          <a:headEnd/>
          <a:tailEnd/>
        </a:ln>
      </xdr:spPr>
    </xdr:sp>
    <xdr:clientData/>
  </xdr:twoCellAnchor>
  <xdr:twoCellAnchor>
    <xdr:from>
      <xdr:col>6</xdr:col>
      <xdr:colOff>390525</xdr:colOff>
      <xdr:row>6</xdr:row>
      <xdr:rowOff>76200</xdr:rowOff>
    </xdr:from>
    <xdr:to>
      <xdr:col>7</xdr:col>
      <xdr:colOff>295275</xdr:colOff>
      <xdr:row>6</xdr:row>
      <xdr:rowOff>76200</xdr:rowOff>
    </xdr:to>
    <xdr:sp macro="" textlink="">
      <xdr:nvSpPr>
        <xdr:cNvPr id="74" name="Line 73"/>
        <xdr:cNvSpPr>
          <a:spLocks noChangeShapeType="1"/>
        </xdr:cNvSpPr>
      </xdr:nvSpPr>
      <xdr:spPr bwMode="auto">
        <a:xfrm>
          <a:off x="4152900" y="1047750"/>
          <a:ext cx="666750" cy="0"/>
        </a:xfrm>
        <a:prstGeom prst="line">
          <a:avLst/>
        </a:prstGeom>
        <a:noFill/>
        <a:ln w="9525">
          <a:solidFill>
            <a:srgbClr val="000000"/>
          </a:solidFill>
          <a:round/>
          <a:headEnd/>
          <a:tailEnd/>
        </a:ln>
      </xdr:spPr>
    </xdr:sp>
    <xdr:clientData/>
  </xdr:twoCellAnchor>
  <xdr:twoCellAnchor>
    <xdr:from>
      <xdr:col>7</xdr:col>
      <xdr:colOff>390525</xdr:colOff>
      <xdr:row>5</xdr:row>
      <xdr:rowOff>85725</xdr:rowOff>
    </xdr:from>
    <xdr:to>
      <xdr:col>8</xdr:col>
      <xdr:colOff>381000</xdr:colOff>
      <xdr:row>5</xdr:row>
      <xdr:rowOff>85725</xdr:rowOff>
    </xdr:to>
    <xdr:sp macro="" textlink="">
      <xdr:nvSpPr>
        <xdr:cNvPr id="75" name="Line 74"/>
        <xdr:cNvSpPr>
          <a:spLocks noChangeShapeType="1"/>
        </xdr:cNvSpPr>
      </xdr:nvSpPr>
      <xdr:spPr bwMode="auto">
        <a:xfrm>
          <a:off x="4914900" y="895350"/>
          <a:ext cx="523875" cy="0"/>
        </a:xfrm>
        <a:prstGeom prst="line">
          <a:avLst/>
        </a:prstGeom>
        <a:noFill/>
        <a:ln w="9525">
          <a:solidFill>
            <a:srgbClr val="000000"/>
          </a:solidFill>
          <a:round/>
          <a:headEnd/>
          <a:tailEnd/>
        </a:ln>
      </xdr:spPr>
    </xdr:sp>
    <xdr:clientData/>
  </xdr:twoCellAnchor>
  <xdr:twoCellAnchor>
    <xdr:from>
      <xdr:col>8</xdr:col>
      <xdr:colOff>342900</xdr:colOff>
      <xdr:row>5</xdr:row>
      <xdr:rowOff>85725</xdr:rowOff>
    </xdr:from>
    <xdr:to>
      <xdr:col>8</xdr:col>
      <xdr:colOff>714375</xdr:colOff>
      <xdr:row>9</xdr:row>
      <xdr:rowOff>123825</xdr:rowOff>
    </xdr:to>
    <xdr:sp macro="" textlink="">
      <xdr:nvSpPr>
        <xdr:cNvPr id="76" name="Line 75"/>
        <xdr:cNvSpPr>
          <a:spLocks noChangeShapeType="1"/>
        </xdr:cNvSpPr>
      </xdr:nvSpPr>
      <xdr:spPr bwMode="auto">
        <a:xfrm>
          <a:off x="5400675" y="895350"/>
          <a:ext cx="371475" cy="685800"/>
        </a:xfrm>
        <a:prstGeom prst="line">
          <a:avLst/>
        </a:prstGeom>
        <a:noFill/>
        <a:ln w="9525">
          <a:solidFill>
            <a:srgbClr val="000000"/>
          </a:solidFill>
          <a:round/>
          <a:headEnd/>
          <a:tailEnd/>
        </a:ln>
      </xdr:spPr>
    </xdr:sp>
    <xdr:clientData/>
  </xdr:twoCellAnchor>
  <xdr:twoCellAnchor>
    <xdr:from>
      <xdr:col>6</xdr:col>
      <xdr:colOff>666750</xdr:colOff>
      <xdr:row>9</xdr:row>
      <xdr:rowOff>133350</xdr:rowOff>
    </xdr:from>
    <xdr:to>
      <xdr:col>7</xdr:col>
      <xdr:colOff>409575</xdr:colOff>
      <xdr:row>9</xdr:row>
      <xdr:rowOff>133350</xdr:rowOff>
    </xdr:to>
    <xdr:sp macro="" textlink="">
      <xdr:nvSpPr>
        <xdr:cNvPr id="77" name="Line 76"/>
        <xdr:cNvSpPr>
          <a:spLocks noChangeShapeType="1"/>
        </xdr:cNvSpPr>
      </xdr:nvSpPr>
      <xdr:spPr bwMode="auto">
        <a:xfrm>
          <a:off x="4429125" y="1590675"/>
          <a:ext cx="504825" cy="0"/>
        </a:xfrm>
        <a:prstGeom prst="line">
          <a:avLst/>
        </a:prstGeom>
        <a:noFill/>
        <a:ln w="9525">
          <a:solidFill>
            <a:srgbClr val="000000"/>
          </a:solidFill>
          <a:round/>
          <a:headEnd/>
          <a:tailEnd/>
        </a:ln>
      </xdr:spPr>
    </xdr:sp>
    <xdr:clientData/>
  </xdr:twoCellAnchor>
  <xdr:twoCellAnchor>
    <xdr:from>
      <xdr:col>8</xdr:col>
      <xdr:colOff>314325</xdr:colOff>
      <xdr:row>9</xdr:row>
      <xdr:rowOff>123825</xdr:rowOff>
    </xdr:from>
    <xdr:to>
      <xdr:col>9</xdr:col>
      <xdr:colOff>9525</xdr:colOff>
      <xdr:row>9</xdr:row>
      <xdr:rowOff>123825</xdr:rowOff>
    </xdr:to>
    <xdr:sp macro="" textlink="">
      <xdr:nvSpPr>
        <xdr:cNvPr id="78" name="Line 77"/>
        <xdr:cNvSpPr>
          <a:spLocks noChangeShapeType="1"/>
        </xdr:cNvSpPr>
      </xdr:nvSpPr>
      <xdr:spPr bwMode="auto">
        <a:xfrm>
          <a:off x="5372100" y="1581150"/>
          <a:ext cx="561975" cy="0"/>
        </a:xfrm>
        <a:prstGeom prst="line">
          <a:avLst/>
        </a:prstGeom>
        <a:noFill/>
        <a:ln w="9525">
          <a:solidFill>
            <a:srgbClr val="000000"/>
          </a:solidFill>
          <a:round/>
          <a:headEnd/>
          <a:tailEnd/>
        </a:ln>
      </xdr:spPr>
    </xdr:sp>
    <xdr:clientData/>
  </xdr:twoCellAnchor>
  <xdr:twoCellAnchor>
    <xdr:from>
      <xdr:col>7</xdr:col>
      <xdr:colOff>400050</xdr:colOff>
      <xdr:row>9</xdr:row>
      <xdr:rowOff>123825</xdr:rowOff>
    </xdr:from>
    <xdr:to>
      <xdr:col>7</xdr:col>
      <xdr:colOff>542925</xdr:colOff>
      <xdr:row>10</xdr:row>
      <xdr:rowOff>104775</xdr:rowOff>
    </xdr:to>
    <xdr:sp macro="" textlink="">
      <xdr:nvSpPr>
        <xdr:cNvPr id="79" name="Line 78"/>
        <xdr:cNvSpPr>
          <a:spLocks noChangeShapeType="1"/>
        </xdr:cNvSpPr>
      </xdr:nvSpPr>
      <xdr:spPr bwMode="auto">
        <a:xfrm>
          <a:off x="4924425" y="1581150"/>
          <a:ext cx="133350" cy="142875"/>
        </a:xfrm>
        <a:prstGeom prst="line">
          <a:avLst/>
        </a:prstGeom>
        <a:noFill/>
        <a:ln w="9525">
          <a:solidFill>
            <a:srgbClr val="000000"/>
          </a:solidFill>
          <a:round/>
          <a:headEnd/>
          <a:tailEnd/>
        </a:ln>
      </xdr:spPr>
    </xdr:sp>
    <xdr:clientData/>
  </xdr:twoCellAnchor>
  <xdr:twoCellAnchor>
    <xdr:from>
      <xdr:col>8</xdr:col>
      <xdr:colOff>219075</xdr:colOff>
      <xdr:row>9</xdr:row>
      <xdr:rowOff>142875</xdr:rowOff>
    </xdr:from>
    <xdr:to>
      <xdr:col>8</xdr:col>
      <xdr:colOff>304800</xdr:colOff>
      <xdr:row>10</xdr:row>
      <xdr:rowOff>114300</xdr:rowOff>
    </xdr:to>
    <xdr:sp macro="" textlink="">
      <xdr:nvSpPr>
        <xdr:cNvPr id="80" name="Line 79"/>
        <xdr:cNvSpPr>
          <a:spLocks noChangeShapeType="1"/>
        </xdr:cNvSpPr>
      </xdr:nvSpPr>
      <xdr:spPr bwMode="auto">
        <a:xfrm flipH="1">
          <a:off x="5276850" y="1600200"/>
          <a:ext cx="85725" cy="133350"/>
        </a:xfrm>
        <a:prstGeom prst="line">
          <a:avLst/>
        </a:prstGeom>
        <a:noFill/>
        <a:ln w="9525">
          <a:solidFill>
            <a:srgbClr val="000000"/>
          </a:solidFill>
          <a:round/>
          <a:headEnd/>
          <a:tailEnd/>
        </a:ln>
      </xdr:spPr>
    </xdr:sp>
    <xdr:clientData/>
  </xdr:twoCellAnchor>
  <xdr:twoCellAnchor>
    <xdr:from>
      <xdr:col>7</xdr:col>
      <xdr:colOff>542925</xdr:colOff>
      <xdr:row>10</xdr:row>
      <xdr:rowOff>95250</xdr:rowOff>
    </xdr:from>
    <xdr:to>
      <xdr:col>8</xdr:col>
      <xdr:colOff>238125</xdr:colOff>
      <xdr:row>10</xdr:row>
      <xdr:rowOff>104775</xdr:rowOff>
    </xdr:to>
    <xdr:sp macro="" textlink="">
      <xdr:nvSpPr>
        <xdr:cNvPr id="81" name="Line 80"/>
        <xdr:cNvSpPr>
          <a:spLocks noChangeShapeType="1"/>
        </xdr:cNvSpPr>
      </xdr:nvSpPr>
      <xdr:spPr bwMode="auto">
        <a:xfrm flipV="1">
          <a:off x="5057775" y="1714500"/>
          <a:ext cx="238125" cy="9525"/>
        </a:xfrm>
        <a:prstGeom prst="line">
          <a:avLst/>
        </a:prstGeom>
        <a:noFill/>
        <a:ln w="9525">
          <a:solidFill>
            <a:srgbClr val="000000"/>
          </a:solidFill>
          <a:round/>
          <a:headEnd/>
          <a:tailEnd/>
        </a:ln>
      </xdr:spPr>
    </xdr:sp>
    <xdr:clientData/>
  </xdr:twoCellAnchor>
  <xdr:twoCellAnchor>
    <xdr:from>
      <xdr:col>4</xdr:col>
      <xdr:colOff>342900</xdr:colOff>
      <xdr:row>8</xdr:row>
      <xdr:rowOff>95250</xdr:rowOff>
    </xdr:from>
    <xdr:to>
      <xdr:col>4</xdr:col>
      <xdr:colOff>342900</xdr:colOff>
      <xdr:row>9</xdr:row>
      <xdr:rowOff>38100</xdr:rowOff>
    </xdr:to>
    <xdr:sp macro="" textlink="">
      <xdr:nvSpPr>
        <xdr:cNvPr id="82" name="Line 81"/>
        <xdr:cNvSpPr>
          <a:spLocks noChangeShapeType="1"/>
        </xdr:cNvSpPr>
      </xdr:nvSpPr>
      <xdr:spPr bwMode="auto">
        <a:xfrm>
          <a:off x="2686050" y="1390650"/>
          <a:ext cx="0" cy="104775"/>
        </a:xfrm>
        <a:prstGeom prst="line">
          <a:avLst/>
        </a:prstGeom>
        <a:noFill/>
        <a:ln w="9525">
          <a:solidFill>
            <a:srgbClr val="000000"/>
          </a:solidFill>
          <a:round/>
          <a:headEnd/>
          <a:tailEnd/>
        </a:ln>
      </xdr:spPr>
    </xdr:sp>
    <xdr:clientData/>
  </xdr:twoCellAnchor>
  <xdr:twoCellAnchor>
    <xdr:from>
      <xdr:col>3</xdr:col>
      <xdr:colOff>400050</xdr:colOff>
      <xdr:row>9</xdr:row>
      <xdr:rowOff>9525</xdr:rowOff>
    </xdr:from>
    <xdr:to>
      <xdr:col>4</xdr:col>
      <xdr:colOff>333375</xdr:colOff>
      <xdr:row>9</xdr:row>
      <xdr:rowOff>9525</xdr:rowOff>
    </xdr:to>
    <xdr:sp macro="" textlink="">
      <xdr:nvSpPr>
        <xdr:cNvPr id="83" name="Line 82"/>
        <xdr:cNvSpPr>
          <a:spLocks noChangeShapeType="1"/>
        </xdr:cNvSpPr>
      </xdr:nvSpPr>
      <xdr:spPr bwMode="auto">
        <a:xfrm>
          <a:off x="2057400" y="1466850"/>
          <a:ext cx="619125" cy="0"/>
        </a:xfrm>
        <a:prstGeom prst="line">
          <a:avLst/>
        </a:prstGeom>
        <a:noFill/>
        <a:ln w="9525">
          <a:solidFill>
            <a:srgbClr val="000000"/>
          </a:solidFill>
          <a:round/>
          <a:headEnd/>
          <a:tailEnd/>
        </a:ln>
      </xdr:spPr>
    </xdr:sp>
    <xdr:clientData/>
  </xdr:twoCellAnchor>
  <xdr:twoCellAnchor>
    <xdr:from>
      <xdr:col>6</xdr:col>
      <xdr:colOff>257175</xdr:colOff>
      <xdr:row>6</xdr:row>
      <xdr:rowOff>85725</xdr:rowOff>
    </xdr:from>
    <xdr:to>
      <xdr:col>6</xdr:col>
      <xdr:colOff>257175</xdr:colOff>
      <xdr:row>8</xdr:row>
      <xdr:rowOff>28575</xdr:rowOff>
    </xdr:to>
    <xdr:sp macro="" textlink="">
      <xdr:nvSpPr>
        <xdr:cNvPr id="84" name="Line 83"/>
        <xdr:cNvSpPr>
          <a:spLocks noChangeShapeType="1"/>
        </xdr:cNvSpPr>
      </xdr:nvSpPr>
      <xdr:spPr bwMode="auto">
        <a:xfrm>
          <a:off x="4019550" y="1057275"/>
          <a:ext cx="0" cy="266700"/>
        </a:xfrm>
        <a:prstGeom prst="line">
          <a:avLst/>
        </a:prstGeom>
        <a:noFill/>
        <a:ln w="9525">
          <a:solidFill>
            <a:srgbClr val="000000"/>
          </a:solidFill>
          <a:round/>
          <a:headEnd/>
          <a:tailEnd/>
        </a:ln>
      </xdr:spPr>
    </xdr:sp>
    <xdr:clientData/>
  </xdr:twoCellAnchor>
  <xdr:twoCellAnchor>
    <xdr:from>
      <xdr:col>6</xdr:col>
      <xdr:colOff>247650</xdr:colOff>
      <xdr:row>9</xdr:row>
      <xdr:rowOff>9525</xdr:rowOff>
    </xdr:from>
    <xdr:to>
      <xdr:col>6</xdr:col>
      <xdr:colOff>247650</xdr:colOff>
      <xdr:row>9</xdr:row>
      <xdr:rowOff>142875</xdr:rowOff>
    </xdr:to>
    <xdr:sp macro="" textlink="">
      <xdr:nvSpPr>
        <xdr:cNvPr id="85" name="Line 84"/>
        <xdr:cNvSpPr>
          <a:spLocks noChangeShapeType="1"/>
        </xdr:cNvSpPr>
      </xdr:nvSpPr>
      <xdr:spPr bwMode="auto">
        <a:xfrm>
          <a:off x="4010025" y="1466850"/>
          <a:ext cx="0" cy="133350"/>
        </a:xfrm>
        <a:prstGeom prst="line">
          <a:avLst/>
        </a:prstGeom>
        <a:noFill/>
        <a:ln w="9525">
          <a:solidFill>
            <a:srgbClr val="000000"/>
          </a:solidFill>
          <a:round/>
          <a:headEnd/>
          <a:tailEnd/>
        </a:ln>
      </xdr:spPr>
    </xdr:sp>
    <xdr:clientData/>
  </xdr:twoCellAnchor>
  <xdr:twoCellAnchor>
    <xdr:from>
      <xdr:col>8</xdr:col>
      <xdr:colOff>295275</xdr:colOff>
      <xdr:row>5</xdr:row>
      <xdr:rowOff>85725</xdr:rowOff>
    </xdr:from>
    <xdr:to>
      <xdr:col>8</xdr:col>
      <xdr:colOff>295275</xdr:colOff>
      <xdr:row>8</xdr:row>
      <xdr:rowOff>28575</xdr:rowOff>
    </xdr:to>
    <xdr:sp macro="" textlink="">
      <xdr:nvSpPr>
        <xdr:cNvPr id="86" name="Line 85"/>
        <xdr:cNvSpPr>
          <a:spLocks noChangeShapeType="1"/>
        </xdr:cNvSpPr>
      </xdr:nvSpPr>
      <xdr:spPr bwMode="auto">
        <a:xfrm>
          <a:off x="5353050" y="895350"/>
          <a:ext cx="0" cy="428625"/>
        </a:xfrm>
        <a:prstGeom prst="line">
          <a:avLst/>
        </a:prstGeom>
        <a:noFill/>
        <a:ln w="9525">
          <a:solidFill>
            <a:srgbClr val="000000"/>
          </a:solidFill>
          <a:round/>
          <a:headEnd/>
          <a:tailEnd/>
        </a:ln>
      </xdr:spPr>
    </xdr:sp>
    <xdr:clientData/>
  </xdr:twoCellAnchor>
  <xdr:twoCellAnchor>
    <xdr:from>
      <xdr:col>8</xdr:col>
      <xdr:colOff>304800</xdr:colOff>
      <xdr:row>8</xdr:row>
      <xdr:rowOff>95250</xdr:rowOff>
    </xdr:from>
    <xdr:to>
      <xdr:col>8</xdr:col>
      <xdr:colOff>304800</xdr:colOff>
      <xdr:row>9</xdr:row>
      <xdr:rowOff>104775</xdr:rowOff>
    </xdr:to>
    <xdr:sp macro="" textlink="">
      <xdr:nvSpPr>
        <xdr:cNvPr id="87" name="Line 86"/>
        <xdr:cNvSpPr>
          <a:spLocks noChangeShapeType="1"/>
        </xdr:cNvSpPr>
      </xdr:nvSpPr>
      <xdr:spPr bwMode="auto">
        <a:xfrm>
          <a:off x="5362575" y="1390650"/>
          <a:ext cx="0" cy="171450"/>
        </a:xfrm>
        <a:prstGeom prst="line">
          <a:avLst/>
        </a:prstGeom>
        <a:noFill/>
        <a:ln w="9525">
          <a:solidFill>
            <a:srgbClr val="000000"/>
          </a:solidFill>
          <a:round/>
          <a:headEnd/>
          <a:tailEnd/>
        </a:ln>
      </xdr:spPr>
    </xdr:sp>
    <xdr:clientData/>
  </xdr:twoCellAnchor>
  <xdr:twoCellAnchor>
    <xdr:from>
      <xdr:col>2</xdr:col>
      <xdr:colOff>9525</xdr:colOff>
      <xdr:row>9</xdr:row>
      <xdr:rowOff>133350</xdr:rowOff>
    </xdr:from>
    <xdr:to>
      <xdr:col>2</xdr:col>
      <xdr:colOff>228600</xdr:colOff>
      <xdr:row>10</xdr:row>
      <xdr:rowOff>95250</xdr:rowOff>
    </xdr:to>
    <xdr:sp macro="" textlink="">
      <xdr:nvSpPr>
        <xdr:cNvPr id="88" name="Line 87"/>
        <xdr:cNvSpPr>
          <a:spLocks noChangeShapeType="1"/>
        </xdr:cNvSpPr>
      </xdr:nvSpPr>
      <xdr:spPr bwMode="auto">
        <a:xfrm>
          <a:off x="962025" y="1590675"/>
          <a:ext cx="219075" cy="123825"/>
        </a:xfrm>
        <a:prstGeom prst="line">
          <a:avLst/>
        </a:prstGeom>
        <a:noFill/>
        <a:ln w="9525">
          <a:solidFill>
            <a:srgbClr val="000000"/>
          </a:solidFill>
          <a:round/>
          <a:headEnd/>
          <a:tailEnd/>
        </a:ln>
      </xdr:spPr>
    </xdr:sp>
    <xdr:clientData/>
  </xdr:twoCellAnchor>
  <xdr:twoCellAnchor>
    <xdr:from>
      <xdr:col>2</xdr:col>
      <xdr:colOff>590550</xdr:colOff>
      <xdr:row>9</xdr:row>
      <xdr:rowOff>142875</xdr:rowOff>
    </xdr:from>
    <xdr:to>
      <xdr:col>2</xdr:col>
      <xdr:colOff>685800</xdr:colOff>
      <xdr:row>10</xdr:row>
      <xdr:rowOff>95250</xdr:rowOff>
    </xdr:to>
    <xdr:sp macro="" textlink="">
      <xdr:nvSpPr>
        <xdr:cNvPr id="89" name="Line 88"/>
        <xdr:cNvSpPr>
          <a:spLocks noChangeShapeType="1"/>
        </xdr:cNvSpPr>
      </xdr:nvSpPr>
      <xdr:spPr bwMode="auto">
        <a:xfrm flipH="1">
          <a:off x="1543050" y="1600200"/>
          <a:ext cx="95250" cy="114300"/>
        </a:xfrm>
        <a:prstGeom prst="line">
          <a:avLst/>
        </a:prstGeom>
        <a:noFill/>
        <a:ln w="9525">
          <a:solidFill>
            <a:srgbClr val="000000"/>
          </a:solidFill>
          <a:round/>
          <a:headEnd/>
          <a:tailEnd/>
        </a:ln>
      </xdr:spPr>
    </xdr:sp>
    <xdr:clientData/>
  </xdr:twoCellAnchor>
  <xdr:twoCellAnchor>
    <xdr:from>
      <xdr:col>1</xdr:col>
      <xdr:colOff>0</xdr:colOff>
      <xdr:row>9</xdr:row>
      <xdr:rowOff>123825</xdr:rowOff>
    </xdr:from>
    <xdr:to>
      <xdr:col>1</xdr:col>
      <xdr:colOff>304800</xdr:colOff>
      <xdr:row>9</xdr:row>
      <xdr:rowOff>133350</xdr:rowOff>
    </xdr:to>
    <xdr:sp macro="" textlink="">
      <xdr:nvSpPr>
        <xdr:cNvPr id="90" name="Line 89"/>
        <xdr:cNvSpPr>
          <a:spLocks noChangeShapeType="1"/>
        </xdr:cNvSpPr>
      </xdr:nvSpPr>
      <xdr:spPr bwMode="auto">
        <a:xfrm flipH="1">
          <a:off x="457200" y="1581150"/>
          <a:ext cx="304800" cy="9525"/>
        </a:xfrm>
        <a:prstGeom prst="line">
          <a:avLst/>
        </a:prstGeom>
        <a:noFill/>
        <a:ln w="9525">
          <a:solidFill>
            <a:srgbClr val="000000"/>
          </a:solidFill>
          <a:round/>
          <a:headEnd/>
          <a:tailEnd/>
        </a:ln>
      </xdr:spPr>
    </xdr:sp>
    <xdr:clientData/>
  </xdr:twoCellAnchor>
  <xdr:twoCellAnchor>
    <xdr:from>
      <xdr:col>2</xdr:col>
      <xdr:colOff>66675</xdr:colOff>
      <xdr:row>4</xdr:row>
      <xdr:rowOff>114300</xdr:rowOff>
    </xdr:from>
    <xdr:to>
      <xdr:col>2</xdr:col>
      <xdr:colOff>342900</xdr:colOff>
      <xdr:row>4</xdr:row>
      <xdr:rowOff>114300</xdr:rowOff>
    </xdr:to>
    <xdr:sp macro="" textlink="">
      <xdr:nvSpPr>
        <xdr:cNvPr id="91" name="Line 90"/>
        <xdr:cNvSpPr>
          <a:spLocks noChangeShapeType="1"/>
        </xdr:cNvSpPr>
      </xdr:nvSpPr>
      <xdr:spPr bwMode="auto">
        <a:xfrm>
          <a:off x="1019175" y="762000"/>
          <a:ext cx="276225" cy="0"/>
        </a:xfrm>
        <a:prstGeom prst="line">
          <a:avLst/>
        </a:prstGeom>
        <a:noFill/>
        <a:ln w="9525">
          <a:solidFill>
            <a:srgbClr val="000000"/>
          </a:solidFill>
          <a:round/>
          <a:headEnd/>
          <a:tailEnd/>
        </a:ln>
      </xdr:spPr>
    </xdr:sp>
    <xdr:clientData/>
  </xdr:twoCellAnchor>
  <xdr:twoCellAnchor>
    <xdr:from>
      <xdr:col>2</xdr:col>
      <xdr:colOff>457200</xdr:colOff>
      <xdr:row>4</xdr:row>
      <xdr:rowOff>114300</xdr:rowOff>
    </xdr:from>
    <xdr:to>
      <xdr:col>3</xdr:col>
      <xdr:colOff>9525</xdr:colOff>
      <xdr:row>4</xdr:row>
      <xdr:rowOff>114300</xdr:rowOff>
    </xdr:to>
    <xdr:sp macro="" textlink="">
      <xdr:nvSpPr>
        <xdr:cNvPr id="92" name="Line 91"/>
        <xdr:cNvSpPr>
          <a:spLocks noChangeShapeType="1"/>
        </xdr:cNvSpPr>
      </xdr:nvSpPr>
      <xdr:spPr bwMode="auto">
        <a:xfrm>
          <a:off x="1409700" y="762000"/>
          <a:ext cx="257175" cy="0"/>
        </a:xfrm>
        <a:prstGeom prst="line">
          <a:avLst/>
        </a:prstGeom>
        <a:noFill/>
        <a:ln w="9525">
          <a:solidFill>
            <a:srgbClr val="000000"/>
          </a:solidFill>
          <a:round/>
          <a:headEnd/>
          <a:tailEnd/>
        </a:ln>
      </xdr:spPr>
    </xdr:sp>
    <xdr:clientData/>
  </xdr:twoCellAnchor>
  <xdr:twoCellAnchor>
    <xdr:from>
      <xdr:col>8</xdr:col>
      <xdr:colOff>619125</xdr:colOff>
      <xdr:row>8</xdr:row>
      <xdr:rowOff>95250</xdr:rowOff>
    </xdr:from>
    <xdr:to>
      <xdr:col>9</xdr:col>
      <xdr:colOff>247650</xdr:colOff>
      <xdr:row>8</xdr:row>
      <xdr:rowOff>95250</xdr:rowOff>
    </xdr:to>
    <xdr:sp macro="" textlink="">
      <xdr:nvSpPr>
        <xdr:cNvPr id="93" name="Line 92"/>
        <xdr:cNvSpPr>
          <a:spLocks noChangeShapeType="1"/>
        </xdr:cNvSpPr>
      </xdr:nvSpPr>
      <xdr:spPr bwMode="auto">
        <a:xfrm>
          <a:off x="5676900" y="1390650"/>
          <a:ext cx="495300" cy="0"/>
        </a:xfrm>
        <a:prstGeom prst="line">
          <a:avLst/>
        </a:prstGeom>
        <a:noFill/>
        <a:ln w="9525">
          <a:solidFill>
            <a:srgbClr val="000000"/>
          </a:solidFill>
          <a:round/>
          <a:headEnd/>
          <a:tailEnd/>
        </a:ln>
      </xdr:spPr>
    </xdr:sp>
    <xdr:clientData/>
  </xdr:twoCellAnchor>
  <xdr:twoCellAnchor>
    <xdr:from>
      <xdr:col>9</xdr:col>
      <xdr:colOff>238125</xdr:colOff>
      <xdr:row>8</xdr:row>
      <xdr:rowOff>104775</xdr:rowOff>
    </xdr:from>
    <xdr:to>
      <xdr:col>9</xdr:col>
      <xdr:colOff>323850</xdr:colOff>
      <xdr:row>9</xdr:row>
      <xdr:rowOff>114300</xdr:rowOff>
    </xdr:to>
    <xdr:sp macro="" textlink="">
      <xdr:nvSpPr>
        <xdr:cNvPr id="94" name="Line 93"/>
        <xdr:cNvSpPr>
          <a:spLocks noChangeShapeType="1"/>
        </xdr:cNvSpPr>
      </xdr:nvSpPr>
      <xdr:spPr bwMode="auto">
        <a:xfrm>
          <a:off x="6162675" y="1400175"/>
          <a:ext cx="85725" cy="171450"/>
        </a:xfrm>
        <a:prstGeom prst="line">
          <a:avLst/>
        </a:prstGeom>
        <a:noFill/>
        <a:ln w="9525">
          <a:solidFill>
            <a:srgbClr val="000000"/>
          </a:solidFill>
          <a:round/>
          <a:headEnd/>
          <a:tailEnd/>
        </a:ln>
      </xdr:spPr>
    </xdr:sp>
    <xdr:clientData/>
  </xdr:twoCellAnchor>
  <xdr:twoCellAnchor>
    <xdr:from>
      <xdr:col>8</xdr:col>
      <xdr:colOff>704850</xdr:colOff>
      <xdr:row>9</xdr:row>
      <xdr:rowOff>123825</xdr:rowOff>
    </xdr:from>
    <xdr:to>
      <xdr:col>9</xdr:col>
      <xdr:colOff>571500</xdr:colOff>
      <xdr:row>9</xdr:row>
      <xdr:rowOff>123825</xdr:rowOff>
    </xdr:to>
    <xdr:sp macro="" textlink="">
      <xdr:nvSpPr>
        <xdr:cNvPr id="95" name="Line 94"/>
        <xdr:cNvSpPr>
          <a:spLocks noChangeShapeType="1"/>
        </xdr:cNvSpPr>
      </xdr:nvSpPr>
      <xdr:spPr bwMode="auto">
        <a:xfrm>
          <a:off x="5762625" y="1581150"/>
          <a:ext cx="733425" cy="0"/>
        </a:xfrm>
        <a:prstGeom prst="line">
          <a:avLst/>
        </a:prstGeom>
        <a:noFill/>
        <a:ln w="9525">
          <a:solidFill>
            <a:srgbClr val="000000"/>
          </a:solidFill>
          <a:round/>
          <a:headEnd/>
          <a:tailEnd/>
        </a:ln>
      </xdr:spPr>
    </xdr:sp>
    <xdr:clientData/>
  </xdr:twoCellAnchor>
  <xdr:twoCellAnchor>
    <xdr:from>
      <xdr:col>9</xdr:col>
      <xdr:colOff>552450</xdr:colOff>
      <xdr:row>9</xdr:row>
      <xdr:rowOff>123825</xdr:rowOff>
    </xdr:from>
    <xdr:to>
      <xdr:col>9</xdr:col>
      <xdr:colOff>676275</xdr:colOff>
      <xdr:row>10</xdr:row>
      <xdr:rowOff>133350</xdr:rowOff>
    </xdr:to>
    <xdr:sp macro="" textlink="">
      <xdr:nvSpPr>
        <xdr:cNvPr id="96" name="Line 95"/>
        <xdr:cNvSpPr>
          <a:spLocks noChangeShapeType="1"/>
        </xdr:cNvSpPr>
      </xdr:nvSpPr>
      <xdr:spPr bwMode="auto">
        <a:xfrm>
          <a:off x="6477000" y="1581150"/>
          <a:ext cx="123825" cy="171450"/>
        </a:xfrm>
        <a:prstGeom prst="line">
          <a:avLst/>
        </a:prstGeom>
        <a:noFill/>
        <a:ln w="9525">
          <a:solidFill>
            <a:srgbClr val="000000"/>
          </a:solidFill>
          <a:round/>
          <a:headEnd/>
          <a:tailEnd/>
        </a:ln>
      </xdr:spPr>
    </xdr:sp>
    <xdr:clientData/>
  </xdr:twoCellAnchor>
  <xdr:twoCellAnchor>
    <xdr:from>
      <xdr:col>9</xdr:col>
      <xdr:colOff>685800</xdr:colOff>
      <xdr:row>10</xdr:row>
      <xdr:rowOff>142875</xdr:rowOff>
    </xdr:from>
    <xdr:to>
      <xdr:col>10</xdr:col>
      <xdr:colOff>295275</xdr:colOff>
      <xdr:row>10</xdr:row>
      <xdr:rowOff>142875</xdr:rowOff>
    </xdr:to>
    <xdr:sp macro="" textlink="">
      <xdr:nvSpPr>
        <xdr:cNvPr id="97" name="Line 96"/>
        <xdr:cNvSpPr>
          <a:spLocks noChangeShapeType="1"/>
        </xdr:cNvSpPr>
      </xdr:nvSpPr>
      <xdr:spPr bwMode="auto">
        <a:xfrm>
          <a:off x="6610350" y="1762125"/>
          <a:ext cx="342900" cy="0"/>
        </a:xfrm>
        <a:prstGeom prst="line">
          <a:avLst/>
        </a:prstGeom>
        <a:noFill/>
        <a:ln w="9525">
          <a:solidFill>
            <a:srgbClr val="000000"/>
          </a:solidFill>
          <a:round/>
          <a:headEnd/>
          <a:tailEnd/>
        </a:ln>
      </xdr:spPr>
    </xdr:sp>
    <xdr:clientData/>
  </xdr:twoCellAnchor>
  <xdr:twoCellAnchor>
    <xdr:from>
      <xdr:col>10</xdr:col>
      <xdr:colOff>295275</xdr:colOff>
      <xdr:row>9</xdr:row>
      <xdr:rowOff>123825</xdr:rowOff>
    </xdr:from>
    <xdr:to>
      <xdr:col>10</xdr:col>
      <xdr:colOff>400050</xdr:colOff>
      <xdr:row>10</xdr:row>
      <xdr:rowOff>152400</xdr:rowOff>
    </xdr:to>
    <xdr:sp macro="" textlink="">
      <xdr:nvSpPr>
        <xdr:cNvPr id="98" name="Line 97"/>
        <xdr:cNvSpPr>
          <a:spLocks noChangeShapeType="1"/>
        </xdr:cNvSpPr>
      </xdr:nvSpPr>
      <xdr:spPr bwMode="auto">
        <a:xfrm flipH="1">
          <a:off x="6953250" y="1581150"/>
          <a:ext cx="104775" cy="190500"/>
        </a:xfrm>
        <a:prstGeom prst="line">
          <a:avLst/>
        </a:prstGeom>
        <a:noFill/>
        <a:ln w="9525">
          <a:solidFill>
            <a:srgbClr val="000000"/>
          </a:solidFill>
          <a:round/>
          <a:headEnd/>
          <a:tailEnd/>
        </a:ln>
      </xdr:spPr>
    </xdr:sp>
    <xdr:clientData/>
  </xdr:twoCellAnchor>
  <xdr:twoCellAnchor>
    <xdr:from>
      <xdr:col>10</xdr:col>
      <xdr:colOff>419100</xdr:colOff>
      <xdr:row>9</xdr:row>
      <xdr:rowOff>133350</xdr:rowOff>
    </xdr:from>
    <xdr:to>
      <xdr:col>10</xdr:col>
      <xdr:colOff>619125</xdr:colOff>
      <xdr:row>9</xdr:row>
      <xdr:rowOff>133350</xdr:rowOff>
    </xdr:to>
    <xdr:sp macro="" textlink="">
      <xdr:nvSpPr>
        <xdr:cNvPr id="99" name="Line 98"/>
        <xdr:cNvSpPr>
          <a:spLocks noChangeShapeType="1"/>
        </xdr:cNvSpPr>
      </xdr:nvSpPr>
      <xdr:spPr bwMode="auto">
        <a:xfrm>
          <a:off x="7077075" y="1590675"/>
          <a:ext cx="200025" cy="0"/>
        </a:xfrm>
        <a:prstGeom prst="line">
          <a:avLst/>
        </a:prstGeom>
        <a:noFill/>
        <a:ln w="9525">
          <a:solidFill>
            <a:srgbClr val="000000"/>
          </a:solidFill>
          <a:round/>
          <a:headEnd/>
          <a:tailEnd/>
        </a:ln>
      </xdr:spPr>
    </xdr:sp>
    <xdr:clientData/>
  </xdr:twoCellAnchor>
  <xdr:twoCellAnchor>
    <xdr:from>
      <xdr:col>8</xdr:col>
      <xdr:colOff>419100</xdr:colOff>
      <xdr:row>9</xdr:row>
      <xdr:rowOff>47625</xdr:rowOff>
    </xdr:from>
    <xdr:to>
      <xdr:col>8</xdr:col>
      <xdr:colOff>685800</xdr:colOff>
      <xdr:row>9</xdr:row>
      <xdr:rowOff>47625</xdr:rowOff>
    </xdr:to>
    <xdr:sp macro="" textlink="">
      <xdr:nvSpPr>
        <xdr:cNvPr id="100" name="Line 99"/>
        <xdr:cNvSpPr>
          <a:spLocks noChangeShapeType="1"/>
        </xdr:cNvSpPr>
      </xdr:nvSpPr>
      <xdr:spPr bwMode="auto">
        <a:xfrm>
          <a:off x="5476875" y="1504950"/>
          <a:ext cx="266700" cy="0"/>
        </a:xfrm>
        <a:prstGeom prst="line">
          <a:avLst/>
        </a:prstGeom>
        <a:noFill/>
        <a:ln w="9525">
          <a:solidFill>
            <a:srgbClr val="000000"/>
          </a:solidFill>
          <a:round/>
          <a:headEnd/>
          <a:tailEnd/>
        </a:ln>
      </xdr:spPr>
    </xdr:sp>
    <xdr:clientData/>
  </xdr:twoCellAnchor>
  <xdr:twoCellAnchor>
    <xdr:from>
      <xdr:col>8</xdr:col>
      <xdr:colOff>381000</xdr:colOff>
      <xdr:row>9</xdr:row>
      <xdr:rowOff>38100</xdr:rowOff>
    </xdr:from>
    <xdr:to>
      <xdr:col>8</xdr:col>
      <xdr:colOff>419100</xdr:colOff>
      <xdr:row>9</xdr:row>
      <xdr:rowOff>123825</xdr:rowOff>
    </xdr:to>
    <xdr:sp macro="" textlink="">
      <xdr:nvSpPr>
        <xdr:cNvPr id="101" name="Line 100"/>
        <xdr:cNvSpPr>
          <a:spLocks noChangeShapeType="1"/>
        </xdr:cNvSpPr>
      </xdr:nvSpPr>
      <xdr:spPr bwMode="auto">
        <a:xfrm flipH="1">
          <a:off x="5438775" y="1495425"/>
          <a:ext cx="38100" cy="85725"/>
        </a:xfrm>
        <a:prstGeom prst="line">
          <a:avLst/>
        </a:prstGeom>
        <a:noFill/>
        <a:ln w="9525">
          <a:solidFill>
            <a:srgbClr val="000000"/>
          </a:solidFill>
          <a:round/>
          <a:headEnd/>
          <a:tailEnd/>
        </a:ln>
      </xdr:spPr>
    </xdr:sp>
    <xdr:clientData/>
  </xdr:twoCellAnchor>
  <xdr:twoCellAnchor>
    <xdr:from>
      <xdr:col>3</xdr:col>
      <xdr:colOff>571500</xdr:colOff>
      <xdr:row>15</xdr:row>
      <xdr:rowOff>57150</xdr:rowOff>
    </xdr:from>
    <xdr:to>
      <xdr:col>3</xdr:col>
      <xdr:colOff>657225</xdr:colOff>
      <xdr:row>15</xdr:row>
      <xdr:rowOff>133350</xdr:rowOff>
    </xdr:to>
    <xdr:sp macro="" textlink="">
      <xdr:nvSpPr>
        <xdr:cNvPr id="102" name="Line 101"/>
        <xdr:cNvSpPr>
          <a:spLocks noChangeShapeType="1"/>
        </xdr:cNvSpPr>
      </xdr:nvSpPr>
      <xdr:spPr bwMode="auto">
        <a:xfrm>
          <a:off x="2228850" y="2486025"/>
          <a:ext cx="85725" cy="76200"/>
        </a:xfrm>
        <a:prstGeom prst="line">
          <a:avLst/>
        </a:prstGeom>
        <a:noFill/>
        <a:ln w="9525">
          <a:solidFill>
            <a:srgbClr val="000000"/>
          </a:solidFill>
          <a:round/>
          <a:headEnd/>
          <a:tailEnd/>
        </a:ln>
      </xdr:spPr>
    </xdr:sp>
    <xdr:clientData/>
  </xdr:twoCellAnchor>
  <xdr:twoCellAnchor>
    <xdr:from>
      <xdr:col>4</xdr:col>
      <xdr:colOff>0</xdr:colOff>
      <xdr:row>15</xdr:row>
      <xdr:rowOff>47625</xdr:rowOff>
    </xdr:from>
    <xdr:to>
      <xdr:col>4</xdr:col>
      <xdr:colOff>66675</xdr:colOff>
      <xdr:row>15</xdr:row>
      <xdr:rowOff>123825</xdr:rowOff>
    </xdr:to>
    <xdr:sp macro="" textlink="">
      <xdr:nvSpPr>
        <xdr:cNvPr id="103" name="Line 102"/>
        <xdr:cNvSpPr>
          <a:spLocks noChangeShapeType="1"/>
        </xdr:cNvSpPr>
      </xdr:nvSpPr>
      <xdr:spPr bwMode="auto">
        <a:xfrm flipV="1">
          <a:off x="2343150" y="2476500"/>
          <a:ext cx="66675" cy="76200"/>
        </a:xfrm>
        <a:prstGeom prst="line">
          <a:avLst/>
        </a:prstGeom>
        <a:noFill/>
        <a:ln w="9525">
          <a:solidFill>
            <a:srgbClr val="000000"/>
          </a:solidFill>
          <a:round/>
          <a:headEnd/>
          <a:tailEnd/>
        </a:ln>
      </xdr:spPr>
    </xdr:sp>
    <xdr:clientData/>
  </xdr:twoCellAnchor>
  <xdr:twoCellAnchor>
    <xdr:from>
      <xdr:col>6</xdr:col>
      <xdr:colOff>685800</xdr:colOff>
      <xdr:row>15</xdr:row>
      <xdr:rowOff>57150</xdr:rowOff>
    </xdr:from>
    <xdr:to>
      <xdr:col>7</xdr:col>
      <xdr:colOff>57150</xdr:colOff>
      <xdr:row>15</xdr:row>
      <xdr:rowOff>152400</xdr:rowOff>
    </xdr:to>
    <xdr:sp macro="" textlink="">
      <xdr:nvSpPr>
        <xdr:cNvPr id="104" name="Line 103"/>
        <xdr:cNvSpPr>
          <a:spLocks noChangeShapeType="1"/>
        </xdr:cNvSpPr>
      </xdr:nvSpPr>
      <xdr:spPr bwMode="auto">
        <a:xfrm>
          <a:off x="4448175" y="2486025"/>
          <a:ext cx="133350" cy="95250"/>
        </a:xfrm>
        <a:prstGeom prst="line">
          <a:avLst/>
        </a:prstGeom>
        <a:noFill/>
        <a:ln w="9525">
          <a:solidFill>
            <a:srgbClr val="000000"/>
          </a:solidFill>
          <a:round/>
          <a:headEnd/>
          <a:tailEnd/>
        </a:ln>
      </xdr:spPr>
    </xdr:sp>
    <xdr:clientData/>
  </xdr:twoCellAnchor>
  <xdr:twoCellAnchor>
    <xdr:from>
      <xdr:col>6</xdr:col>
      <xdr:colOff>685800</xdr:colOff>
      <xdr:row>15</xdr:row>
      <xdr:rowOff>38100</xdr:rowOff>
    </xdr:from>
    <xdr:to>
      <xdr:col>7</xdr:col>
      <xdr:colOff>38100</xdr:colOff>
      <xdr:row>15</xdr:row>
      <xdr:rowOff>133350</xdr:rowOff>
    </xdr:to>
    <xdr:sp macro="" textlink="">
      <xdr:nvSpPr>
        <xdr:cNvPr id="105" name="Line 104"/>
        <xdr:cNvSpPr>
          <a:spLocks noChangeShapeType="1"/>
        </xdr:cNvSpPr>
      </xdr:nvSpPr>
      <xdr:spPr bwMode="auto">
        <a:xfrm flipV="1">
          <a:off x="4448175" y="2466975"/>
          <a:ext cx="114300" cy="9525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419100</xdr:colOff>
      <xdr:row>9</xdr:row>
      <xdr:rowOff>9525</xdr:rowOff>
    </xdr:from>
    <xdr:to>
      <xdr:col>1</xdr:col>
      <xdr:colOff>466725</xdr:colOff>
      <xdr:row>20</xdr:row>
      <xdr:rowOff>0</xdr:rowOff>
    </xdr:to>
    <xdr:sp macro="" textlink="">
      <xdr:nvSpPr>
        <xdr:cNvPr id="2" name="Rectangle 1"/>
        <xdr:cNvSpPr>
          <a:spLocks noChangeArrowheads="1"/>
        </xdr:cNvSpPr>
      </xdr:nvSpPr>
      <xdr:spPr bwMode="auto">
        <a:xfrm>
          <a:off x="838200" y="1466850"/>
          <a:ext cx="47625" cy="1771650"/>
        </a:xfrm>
        <a:prstGeom prst="rect">
          <a:avLst/>
        </a:prstGeom>
        <a:noFill/>
        <a:ln w="9525">
          <a:solidFill>
            <a:srgbClr val="000000"/>
          </a:solidFill>
          <a:miter lim="800000"/>
          <a:headEnd/>
          <a:tailEnd/>
        </a:ln>
      </xdr:spPr>
    </xdr:sp>
    <xdr:clientData/>
  </xdr:twoCellAnchor>
  <xdr:twoCellAnchor>
    <xdr:from>
      <xdr:col>4</xdr:col>
      <xdr:colOff>9525</xdr:colOff>
      <xdr:row>9</xdr:row>
      <xdr:rowOff>0</xdr:rowOff>
    </xdr:from>
    <xdr:to>
      <xdr:col>4</xdr:col>
      <xdr:colOff>57150</xdr:colOff>
      <xdr:row>19</xdr:row>
      <xdr:rowOff>152400</xdr:rowOff>
    </xdr:to>
    <xdr:sp macro="" textlink="">
      <xdr:nvSpPr>
        <xdr:cNvPr id="3" name="Rectangle 2"/>
        <xdr:cNvSpPr>
          <a:spLocks noChangeArrowheads="1"/>
        </xdr:cNvSpPr>
      </xdr:nvSpPr>
      <xdr:spPr bwMode="auto">
        <a:xfrm>
          <a:off x="2247900" y="1457325"/>
          <a:ext cx="47625" cy="1771650"/>
        </a:xfrm>
        <a:prstGeom prst="rect">
          <a:avLst/>
        </a:prstGeom>
        <a:noFill/>
        <a:ln w="9525">
          <a:solidFill>
            <a:srgbClr val="000000"/>
          </a:solidFill>
          <a:miter lim="800000"/>
          <a:headEnd/>
          <a:tailEnd/>
        </a:ln>
      </xdr:spPr>
    </xdr:sp>
    <xdr:clientData/>
  </xdr:twoCellAnchor>
  <xdr:twoCellAnchor>
    <xdr:from>
      <xdr:col>6</xdr:col>
      <xdr:colOff>9525</xdr:colOff>
      <xdr:row>7</xdr:row>
      <xdr:rowOff>0</xdr:rowOff>
    </xdr:from>
    <xdr:to>
      <xdr:col>6</xdr:col>
      <xdr:colOff>57150</xdr:colOff>
      <xdr:row>17</xdr:row>
      <xdr:rowOff>152400</xdr:rowOff>
    </xdr:to>
    <xdr:sp macro="" textlink="">
      <xdr:nvSpPr>
        <xdr:cNvPr id="4" name="Rectangle 3"/>
        <xdr:cNvSpPr>
          <a:spLocks noChangeArrowheads="1"/>
        </xdr:cNvSpPr>
      </xdr:nvSpPr>
      <xdr:spPr bwMode="auto">
        <a:xfrm>
          <a:off x="3581400" y="1133475"/>
          <a:ext cx="47625" cy="1771650"/>
        </a:xfrm>
        <a:prstGeom prst="rect">
          <a:avLst/>
        </a:prstGeom>
        <a:noFill/>
        <a:ln w="9525">
          <a:solidFill>
            <a:srgbClr val="000000"/>
          </a:solidFill>
          <a:miter lim="800000"/>
          <a:headEnd/>
          <a:tailEnd/>
        </a:ln>
      </xdr:spPr>
    </xdr:sp>
    <xdr:clientData/>
  </xdr:twoCellAnchor>
  <xdr:twoCellAnchor>
    <xdr:from>
      <xdr:col>1</xdr:col>
      <xdr:colOff>133350</xdr:colOff>
      <xdr:row>20</xdr:row>
      <xdr:rowOff>0</xdr:rowOff>
    </xdr:from>
    <xdr:to>
      <xdr:col>4</xdr:col>
      <xdr:colOff>352425</xdr:colOff>
      <xdr:row>20</xdr:row>
      <xdr:rowOff>114300</xdr:rowOff>
    </xdr:to>
    <xdr:sp macro="" textlink="">
      <xdr:nvSpPr>
        <xdr:cNvPr id="5" name="Rectangle 4"/>
        <xdr:cNvSpPr>
          <a:spLocks noChangeArrowheads="1"/>
        </xdr:cNvSpPr>
      </xdr:nvSpPr>
      <xdr:spPr bwMode="auto">
        <a:xfrm>
          <a:off x="552450" y="3238500"/>
          <a:ext cx="2038350" cy="114300"/>
        </a:xfrm>
        <a:prstGeom prst="rect">
          <a:avLst/>
        </a:prstGeom>
        <a:noFill/>
        <a:ln w="9525">
          <a:solidFill>
            <a:srgbClr val="000000"/>
          </a:solidFill>
          <a:miter lim="800000"/>
          <a:headEnd/>
          <a:tailEnd/>
        </a:ln>
      </xdr:spPr>
    </xdr:sp>
    <xdr:clientData/>
  </xdr:twoCellAnchor>
  <xdr:twoCellAnchor>
    <xdr:from>
      <xdr:col>1</xdr:col>
      <xdr:colOff>247650</xdr:colOff>
      <xdr:row>8</xdr:row>
      <xdr:rowOff>104775</xdr:rowOff>
    </xdr:from>
    <xdr:to>
      <xdr:col>4</xdr:col>
      <xdr:colOff>295275</xdr:colOff>
      <xdr:row>9</xdr:row>
      <xdr:rowOff>0</xdr:rowOff>
    </xdr:to>
    <xdr:sp macro="" textlink="">
      <xdr:nvSpPr>
        <xdr:cNvPr id="6" name="Rectangle 5"/>
        <xdr:cNvSpPr>
          <a:spLocks noChangeArrowheads="1"/>
        </xdr:cNvSpPr>
      </xdr:nvSpPr>
      <xdr:spPr bwMode="auto">
        <a:xfrm>
          <a:off x="666750" y="1400175"/>
          <a:ext cx="1866900" cy="57150"/>
        </a:xfrm>
        <a:prstGeom prst="rect">
          <a:avLst/>
        </a:prstGeom>
        <a:noFill/>
        <a:ln w="9525">
          <a:solidFill>
            <a:srgbClr val="000000"/>
          </a:solidFill>
          <a:miter lim="800000"/>
          <a:headEnd/>
          <a:tailEnd/>
        </a:ln>
      </xdr:spPr>
    </xdr:sp>
    <xdr:clientData/>
  </xdr:twoCellAnchor>
  <xdr:twoCellAnchor>
    <xdr:from>
      <xdr:col>1</xdr:col>
      <xdr:colOff>438150</xdr:colOff>
      <xdr:row>8</xdr:row>
      <xdr:rowOff>85725</xdr:rowOff>
    </xdr:from>
    <xdr:to>
      <xdr:col>1</xdr:col>
      <xdr:colOff>447675</xdr:colOff>
      <xdr:row>8</xdr:row>
      <xdr:rowOff>95250</xdr:rowOff>
    </xdr:to>
    <xdr:sp macro="" textlink="">
      <xdr:nvSpPr>
        <xdr:cNvPr id="7" name="Line 6"/>
        <xdr:cNvSpPr>
          <a:spLocks noChangeShapeType="1"/>
        </xdr:cNvSpPr>
      </xdr:nvSpPr>
      <xdr:spPr bwMode="auto">
        <a:xfrm flipV="1">
          <a:off x="857250" y="1381125"/>
          <a:ext cx="9525" cy="9525"/>
        </a:xfrm>
        <a:prstGeom prst="line">
          <a:avLst/>
        </a:prstGeom>
        <a:noFill/>
        <a:ln w="9525">
          <a:solidFill>
            <a:srgbClr val="000000"/>
          </a:solidFill>
          <a:round/>
          <a:headEnd/>
          <a:tailEnd/>
        </a:ln>
      </xdr:spPr>
    </xdr:sp>
    <xdr:clientData/>
  </xdr:twoCellAnchor>
  <xdr:twoCellAnchor>
    <xdr:from>
      <xdr:col>4</xdr:col>
      <xdr:colOff>295275</xdr:colOff>
      <xdr:row>8</xdr:row>
      <xdr:rowOff>104775</xdr:rowOff>
    </xdr:from>
    <xdr:to>
      <xdr:col>4</xdr:col>
      <xdr:colOff>295275</xdr:colOff>
      <xdr:row>8</xdr:row>
      <xdr:rowOff>114300</xdr:rowOff>
    </xdr:to>
    <xdr:sp macro="" textlink="">
      <xdr:nvSpPr>
        <xdr:cNvPr id="8" name="Rectangle 7"/>
        <xdr:cNvSpPr>
          <a:spLocks noChangeArrowheads="1"/>
        </xdr:cNvSpPr>
      </xdr:nvSpPr>
      <xdr:spPr bwMode="auto">
        <a:xfrm>
          <a:off x="2533650" y="1400175"/>
          <a:ext cx="0" cy="9525"/>
        </a:xfrm>
        <a:prstGeom prst="rect">
          <a:avLst/>
        </a:prstGeom>
        <a:noFill/>
        <a:ln w="9525">
          <a:solidFill>
            <a:srgbClr val="000000"/>
          </a:solidFill>
          <a:miter lim="800000"/>
          <a:headEnd/>
          <a:tailEnd/>
        </a:ln>
      </xdr:spPr>
    </xdr:sp>
    <xdr:clientData/>
  </xdr:twoCellAnchor>
  <xdr:twoCellAnchor>
    <xdr:from>
      <xdr:col>4</xdr:col>
      <xdr:colOff>295275</xdr:colOff>
      <xdr:row>6</xdr:row>
      <xdr:rowOff>85725</xdr:rowOff>
    </xdr:from>
    <xdr:to>
      <xdr:col>6</xdr:col>
      <xdr:colOff>352425</xdr:colOff>
      <xdr:row>8</xdr:row>
      <xdr:rowOff>104775</xdr:rowOff>
    </xdr:to>
    <xdr:sp macro="" textlink="">
      <xdr:nvSpPr>
        <xdr:cNvPr id="9" name="Line 8"/>
        <xdr:cNvSpPr>
          <a:spLocks noChangeShapeType="1"/>
        </xdr:cNvSpPr>
      </xdr:nvSpPr>
      <xdr:spPr bwMode="auto">
        <a:xfrm flipV="1">
          <a:off x="2533650" y="1057275"/>
          <a:ext cx="1390650" cy="342900"/>
        </a:xfrm>
        <a:prstGeom prst="line">
          <a:avLst/>
        </a:prstGeom>
        <a:noFill/>
        <a:ln w="9525">
          <a:solidFill>
            <a:srgbClr val="000000"/>
          </a:solidFill>
          <a:round/>
          <a:headEnd/>
          <a:tailEnd/>
        </a:ln>
      </xdr:spPr>
    </xdr:sp>
    <xdr:clientData/>
  </xdr:twoCellAnchor>
  <xdr:twoCellAnchor>
    <xdr:from>
      <xdr:col>4</xdr:col>
      <xdr:colOff>304800</xdr:colOff>
      <xdr:row>6</xdr:row>
      <xdr:rowOff>114300</xdr:rowOff>
    </xdr:from>
    <xdr:to>
      <xdr:col>6</xdr:col>
      <xdr:colOff>371475</xdr:colOff>
      <xdr:row>8</xdr:row>
      <xdr:rowOff>152400</xdr:rowOff>
    </xdr:to>
    <xdr:sp macro="" textlink="">
      <xdr:nvSpPr>
        <xdr:cNvPr id="10" name="Line 9"/>
        <xdr:cNvSpPr>
          <a:spLocks noChangeShapeType="1"/>
        </xdr:cNvSpPr>
      </xdr:nvSpPr>
      <xdr:spPr bwMode="auto">
        <a:xfrm flipV="1">
          <a:off x="2543175" y="1085850"/>
          <a:ext cx="1400175" cy="361950"/>
        </a:xfrm>
        <a:prstGeom prst="line">
          <a:avLst/>
        </a:prstGeom>
        <a:noFill/>
        <a:ln w="9525">
          <a:solidFill>
            <a:srgbClr val="000000"/>
          </a:solidFill>
          <a:round/>
          <a:headEnd/>
          <a:tailEnd/>
        </a:ln>
      </xdr:spPr>
    </xdr:sp>
    <xdr:clientData/>
  </xdr:twoCellAnchor>
  <xdr:twoCellAnchor>
    <xdr:from>
      <xdr:col>1</xdr:col>
      <xdr:colOff>257175</xdr:colOff>
      <xdr:row>6</xdr:row>
      <xdr:rowOff>76200</xdr:rowOff>
    </xdr:from>
    <xdr:to>
      <xdr:col>4</xdr:col>
      <xdr:colOff>476250</xdr:colOff>
      <xdr:row>8</xdr:row>
      <xdr:rowOff>95250</xdr:rowOff>
    </xdr:to>
    <xdr:sp macro="" textlink="">
      <xdr:nvSpPr>
        <xdr:cNvPr id="11" name="Line 10"/>
        <xdr:cNvSpPr>
          <a:spLocks noChangeShapeType="1"/>
        </xdr:cNvSpPr>
      </xdr:nvSpPr>
      <xdr:spPr bwMode="auto">
        <a:xfrm flipV="1">
          <a:off x="676275" y="1047750"/>
          <a:ext cx="2038350" cy="342900"/>
        </a:xfrm>
        <a:prstGeom prst="line">
          <a:avLst/>
        </a:prstGeom>
        <a:noFill/>
        <a:ln w="9525">
          <a:solidFill>
            <a:srgbClr val="000000"/>
          </a:solidFill>
          <a:round/>
          <a:headEnd/>
          <a:tailEnd/>
        </a:ln>
      </xdr:spPr>
    </xdr:sp>
    <xdr:clientData/>
  </xdr:twoCellAnchor>
  <xdr:twoCellAnchor>
    <xdr:from>
      <xdr:col>4</xdr:col>
      <xdr:colOff>466725</xdr:colOff>
      <xdr:row>6</xdr:row>
      <xdr:rowOff>85725</xdr:rowOff>
    </xdr:from>
    <xdr:to>
      <xdr:col>6</xdr:col>
      <xdr:colOff>342900</xdr:colOff>
      <xdr:row>6</xdr:row>
      <xdr:rowOff>85725</xdr:rowOff>
    </xdr:to>
    <xdr:sp macro="" textlink="">
      <xdr:nvSpPr>
        <xdr:cNvPr id="12" name="Line 11"/>
        <xdr:cNvSpPr>
          <a:spLocks noChangeShapeType="1"/>
        </xdr:cNvSpPr>
      </xdr:nvSpPr>
      <xdr:spPr bwMode="auto">
        <a:xfrm>
          <a:off x="2705100" y="1057275"/>
          <a:ext cx="1209675" cy="0"/>
        </a:xfrm>
        <a:prstGeom prst="line">
          <a:avLst/>
        </a:prstGeom>
        <a:noFill/>
        <a:ln w="9525">
          <a:solidFill>
            <a:srgbClr val="000000"/>
          </a:solidFill>
          <a:round/>
          <a:headEnd/>
          <a:tailEnd/>
        </a:ln>
      </xdr:spPr>
    </xdr:sp>
    <xdr:clientData/>
  </xdr:twoCellAnchor>
  <xdr:twoCellAnchor>
    <xdr:from>
      <xdr:col>6</xdr:col>
      <xdr:colOff>323850</xdr:colOff>
      <xdr:row>6</xdr:row>
      <xdr:rowOff>85725</xdr:rowOff>
    </xdr:from>
    <xdr:to>
      <xdr:col>6</xdr:col>
      <xdr:colOff>333375</xdr:colOff>
      <xdr:row>6</xdr:row>
      <xdr:rowOff>104775</xdr:rowOff>
    </xdr:to>
    <xdr:sp macro="" textlink="">
      <xdr:nvSpPr>
        <xdr:cNvPr id="13" name="Line 12"/>
        <xdr:cNvSpPr>
          <a:spLocks noChangeShapeType="1"/>
        </xdr:cNvSpPr>
      </xdr:nvSpPr>
      <xdr:spPr bwMode="auto">
        <a:xfrm flipH="1">
          <a:off x="3895725" y="1057275"/>
          <a:ext cx="9525" cy="19050"/>
        </a:xfrm>
        <a:prstGeom prst="line">
          <a:avLst/>
        </a:prstGeom>
        <a:noFill/>
        <a:ln w="9525">
          <a:solidFill>
            <a:srgbClr val="000000"/>
          </a:solidFill>
          <a:round/>
          <a:headEnd/>
          <a:tailEnd/>
        </a:ln>
      </xdr:spPr>
    </xdr:sp>
    <xdr:clientData/>
  </xdr:twoCellAnchor>
  <xdr:twoCellAnchor>
    <xdr:from>
      <xdr:col>6</xdr:col>
      <xdr:colOff>352425</xdr:colOff>
      <xdr:row>6</xdr:row>
      <xdr:rowOff>85725</xdr:rowOff>
    </xdr:from>
    <xdr:to>
      <xdr:col>6</xdr:col>
      <xdr:colOff>361950</xdr:colOff>
      <xdr:row>6</xdr:row>
      <xdr:rowOff>142875</xdr:rowOff>
    </xdr:to>
    <xdr:sp macro="" textlink="">
      <xdr:nvSpPr>
        <xdr:cNvPr id="14" name="Line 13"/>
        <xdr:cNvSpPr>
          <a:spLocks noChangeShapeType="1"/>
        </xdr:cNvSpPr>
      </xdr:nvSpPr>
      <xdr:spPr bwMode="auto">
        <a:xfrm>
          <a:off x="3924300" y="1057275"/>
          <a:ext cx="9525" cy="57150"/>
        </a:xfrm>
        <a:prstGeom prst="line">
          <a:avLst/>
        </a:prstGeom>
        <a:noFill/>
        <a:ln w="9525">
          <a:solidFill>
            <a:srgbClr val="000000"/>
          </a:solidFill>
          <a:round/>
          <a:headEnd/>
          <a:tailEnd/>
        </a:ln>
      </xdr:spPr>
    </xdr:sp>
    <xdr:clientData/>
  </xdr:twoCellAnchor>
  <xdr:twoCellAnchor>
    <xdr:from>
      <xdr:col>4</xdr:col>
      <xdr:colOff>57150</xdr:colOff>
      <xdr:row>17</xdr:row>
      <xdr:rowOff>142875</xdr:rowOff>
    </xdr:from>
    <xdr:to>
      <xdr:col>6</xdr:col>
      <xdr:colOff>76200</xdr:colOff>
      <xdr:row>19</xdr:row>
      <xdr:rowOff>142875</xdr:rowOff>
    </xdr:to>
    <xdr:sp macro="" textlink="">
      <xdr:nvSpPr>
        <xdr:cNvPr id="15" name="Line 14"/>
        <xdr:cNvSpPr>
          <a:spLocks noChangeShapeType="1"/>
        </xdr:cNvSpPr>
      </xdr:nvSpPr>
      <xdr:spPr bwMode="auto">
        <a:xfrm flipV="1">
          <a:off x="2295525" y="2895600"/>
          <a:ext cx="1352550" cy="323850"/>
        </a:xfrm>
        <a:prstGeom prst="line">
          <a:avLst/>
        </a:prstGeom>
        <a:noFill/>
        <a:ln w="9525">
          <a:solidFill>
            <a:srgbClr val="000000"/>
          </a:solidFill>
          <a:round/>
          <a:headEnd/>
          <a:tailEnd/>
        </a:ln>
      </xdr:spPr>
    </xdr:sp>
    <xdr:clientData/>
  </xdr:twoCellAnchor>
  <xdr:twoCellAnchor>
    <xdr:from>
      <xdr:col>1</xdr:col>
      <xdr:colOff>476250</xdr:colOff>
      <xdr:row>9</xdr:row>
      <xdr:rowOff>57150</xdr:rowOff>
    </xdr:from>
    <xdr:to>
      <xdr:col>4</xdr:col>
      <xdr:colOff>38100</xdr:colOff>
      <xdr:row>9</xdr:row>
      <xdr:rowOff>57150</xdr:rowOff>
    </xdr:to>
    <xdr:sp macro="" textlink="">
      <xdr:nvSpPr>
        <xdr:cNvPr id="16" name="Line 15"/>
        <xdr:cNvSpPr>
          <a:spLocks noChangeShapeType="1"/>
        </xdr:cNvSpPr>
      </xdr:nvSpPr>
      <xdr:spPr bwMode="auto">
        <a:xfrm>
          <a:off x="895350" y="1514475"/>
          <a:ext cx="1381125" cy="0"/>
        </a:xfrm>
        <a:prstGeom prst="line">
          <a:avLst/>
        </a:prstGeom>
        <a:noFill/>
        <a:ln w="9525">
          <a:solidFill>
            <a:srgbClr val="000000"/>
          </a:solidFill>
          <a:round/>
          <a:headEnd/>
          <a:tailEnd/>
        </a:ln>
      </xdr:spPr>
    </xdr:sp>
    <xdr:clientData/>
  </xdr:twoCellAnchor>
  <xdr:twoCellAnchor>
    <xdr:from>
      <xdr:col>2</xdr:col>
      <xdr:colOff>381000</xdr:colOff>
      <xdr:row>11</xdr:row>
      <xdr:rowOff>85725</xdr:rowOff>
    </xdr:from>
    <xdr:to>
      <xdr:col>2</xdr:col>
      <xdr:colOff>381000</xdr:colOff>
      <xdr:row>15</xdr:row>
      <xdr:rowOff>152400</xdr:rowOff>
    </xdr:to>
    <xdr:sp macro="" textlink="">
      <xdr:nvSpPr>
        <xdr:cNvPr id="17" name="Line 16"/>
        <xdr:cNvSpPr>
          <a:spLocks noChangeShapeType="1"/>
        </xdr:cNvSpPr>
      </xdr:nvSpPr>
      <xdr:spPr bwMode="auto">
        <a:xfrm>
          <a:off x="1409700" y="1866900"/>
          <a:ext cx="0" cy="714375"/>
        </a:xfrm>
        <a:prstGeom prst="line">
          <a:avLst/>
        </a:prstGeom>
        <a:noFill/>
        <a:ln w="9525">
          <a:solidFill>
            <a:srgbClr val="000000"/>
          </a:solidFill>
          <a:round/>
          <a:headEnd/>
          <a:tailEnd/>
        </a:ln>
      </xdr:spPr>
    </xdr:sp>
    <xdr:clientData/>
  </xdr:twoCellAnchor>
  <xdr:twoCellAnchor>
    <xdr:from>
      <xdr:col>3</xdr:col>
      <xdr:colOff>238125</xdr:colOff>
      <xdr:row>11</xdr:row>
      <xdr:rowOff>95250</xdr:rowOff>
    </xdr:from>
    <xdr:to>
      <xdr:col>3</xdr:col>
      <xdr:colOff>238125</xdr:colOff>
      <xdr:row>15</xdr:row>
      <xdr:rowOff>142875</xdr:rowOff>
    </xdr:to>
    <xdr:sp macro="" textlink="">
      <xdr:nvSpPr>
        <xdr:cNvPr id="18" name="Line 17"/>
        <xdr:cNvSpPr>
          <a:spLocks noChangeShapeType="1"/>
        </xdr:cNvSpPr>
      </xdr:nvSpPr>
      <xdr:spPr bwMode="auto">
        <a:xfrm>
          <a:off x="1866900" y="1876425"/>
          <a:ext cx="0" cy="695325"/>
        </a:xfrm>
        <a:prstGeom prst="line">
          <a:avLst/>
        </a:prstGeom>
        <a:noFill/>
        <a:ln w="9525">
          <a:solidFill>
            <a:srgbClr val="000000"/>
          </a:solidFill>
          <a:round/>
          <a:headEnd/>
          <a:tailEnd/>
        </a:ln>
      </xdr:spPr>
    </xdr:sp>
    <xdr:clientData/>
  </xdr:twoCellAnchor>
  <xdr:twoCellAnchor>
    <xdr:from>
      <xdr:col>2</xdr:col>
      <xdr:colOff>390525</xdr:colOff>
      <xdr:row>11</xdr:row>
      <xdr:rowOff>85725</xdr:rowOff>
    </xdr:from>
    <xdr:to>
      <xdr:col>3</xdr:col>
      <xdr:colOff>238125</xdr:colOff>
      <xdr:row>11</xdr:row>
      <xdr:rowOff>85725</xdr:rowOff>
    </xdr:to>
    <xdr:sp macro="" textlink="">
      <xdr:nvSpPr>
        <xdr:cNvPr id="19" name="Line 18"/>
        <xdr:cNvSpPr>
          <a:spLocks noChangeShapeType="1"/>
        </xdr:cNvSpPr>
      </xdr:nvSpPr>
      <xdr:spPr bwMode="auto">
        <a:xfrm>
          <a:off x="1419225" y="1866900"/>
          <a:ext cx="447675" cy="0"/>
        </a:xfrm>
        <a:prstGeom prst="line">
          <a:avLst/>
        </a:prstGeom>
        <a:noFill/>
        <a:ln w="9525">
          <a:solidFill>
            <a:srgbClr val="000000"/>
          </a:solidFill>
          <a:round/>
          <a:headEnd/>
          <a:tailEnd/>
        </a:ln>
      </xdr:spPr>
    </xdr:sp>
    <xdr:clientData/>
  </xdr:twoCellAnchor>
  <xdr:twoCellAnchor>
    <xdr:from>
      <xdr:col>2</xdr:col>
      <xdr:colOff>390525</xdr:colOff>
      <xdr:row>15</xdr:row>
      <xdr:rowOff>142875</xdr:rowOff>
    </xdr:from>
    <xdr:to>
      <xdr:col>3</xdr:col>
      <xdr:colOff>304800</xdr:colOff>
      <xdr:row>15</xdr:row>
      <xdr:rowOff>142875</xdr:rowOff>
    </xdr:to>
    <xdr:sp macro="" textlink="">
      <xdr:nvSpPr>
        <xdr:cNvPr id="20" name="Line 19"/>
        <xdr:cNvSpPr>
          <a:spLocks noChangeShapeType="1"/>
        </xdr:cNvSpPr>
      </xdr:nvSpPr>
      <xdr:spPr bwMode="auto">
        <a:xfrm>
          <a:off x="1419225" y="2571750"/>
          <a:ext cx="514350" cy="0"/>
        </a:xfrm>
        <a:prstGeom prst="line">
          <a:avLst/>
        </a:prstGeom>
        <a:noFill/>
        <a:ln w="9525">
          <a:solidFill>
            <a:srgbClr val="000000"/>
          </a:solidFill>
          <a:round/>
          <a:headEnd/>
          <a:tailEnd/>
        </a:ln>
      </xdr:spPr>
    </xdr:sp>
    <xdr:clientData/>
  </xdr:twoCellAnchor>
  <xdr:twoCellAnchor>
    <xdr:from>
      <xdr:col>2</xdr:col>
      <xdr:colOff>180975</xdr:colOff>
      <xdr:row>11</xdr:row>
      <xdr:rowOff>76200</xdr:rowOff>
    </xdr:from>
    <xdr:to>
      <xdr:col>2</xdr:col>
      <xdr:colOff>381000</xdr:colOff>
      <xdr:row>12</xdr:row>
      <xdr:rowOff>19050</xdr:rowOff>
    </xdr:to>
    <xdr:sp macro="" textlink="">
      <xdr:nvSpPr>
        <xdr:cNvPr id="21" name="Line 20"/>
        <xdr:cNvSpPr>
          <a:spLocks noChangeShapeType="1"/>
        </xdr:cNvSpPr>
      </xdr:nvSpPr>
      <xdr:spPr bwMode="auto">
        <a:xfrm flipH="1">
          <a:off x="1209675" y="1857375"/>
          <a:ext cx="200025" cy="104775"/>
        </a:xfrm>
        <a:prstGeom prst="line">
          <a:avLst/>
        </a:prstGeom>
        <a:noFill/>
        <a:ln w="9525">
          <a:solidFill>
            <a:srgbClr val="000000"/>
          </a:solidFill>
          <a:round/>
          <a:headEnd/>
          <a:tailEnd/>
        </a:ln>
      </xdr:spPr>
    </xdr:sp>
    <xdr:clientData/>
  </xdr:twoCellAnchor>
  <xdr:twoCellAnchor>
    <xdr:from>
      <xdr:col>3</xdr:col>
      <xdr:colOff>19050</xdr:colOff>
      <xdr:row>11</xdr:row>
      <xdr:rowOff>85725</xdr:rowOff>
    </xdr:from>
    <xdr:to>
      <xdr:col>3</xdr:col>
      <xdr:colOff>238125</xdr:colOff>
      <xdr:row>12</xdr:row>
      <xdr:rowOff>38100</xdr:rowOff>
    </xdr:to>
    <xdr:sp macro="" textlink="">
      <xdr:nvSpPr>
        <xdr:cNvPr id="22" name="Line 21"/>
        <xdr:cNvSpPr>
          <a:spLocks noChangeShapeType="1"/>
        </xdr:cNvSpPr>
      </xdr:nvSpPr>
      <xdr:spPr bwMode="auto">
        <a:xfrm flipH="1">
          <a:off x="1647825" y="1866900"/>
          <a:ext cx="219075" cy="114300"/>
        </a:xfrm>
        <a:prstGeom prst="line">
          <a:avLst/>
        </a:prstGeom>
        <a:noFill/>
        <a:ln w="9525">
          <a:solidFill>
            <a:srgbClr val="000000"/>
          </a:solidFill>
          <a:round/>
          <a:headEnd/>
          <a:tailEnd/>
        </a:ln>
      </xdr:spPr>
    </xdr:sp>
    <xdr:clientData/>
  </xdr:twoCellAnchor>
  <xdr:twoCellAnchor>
    <xdr:from>
      <xdr:col>2</xdr:col>
      <xdr:colOff>190500</xdr:colOff>
      <xdr:row>12</xdr:row>
      <xdr:rowOff>19050</xdr:rowOff>
    </xdr:from>
    <xdr:to>
      <xdr:col>3</xdr:col>
      <xdr:colOff>76200</xdr:colOff>
      <xdr:row>12</xdr:row>
      <xdr:rowOff>19050</xdr:rowOff>
    </xdr:to>
    <xdr:sp macro="" textlink="">
      <xdr:nvSpPr>
        <xdr:cNvPr id="23" name="Line 22"/>
        <xdr:cNvSpPr>
          <a:spLocks noChangeShapeType="1"/>
        </xdr:cNvSpPr>
      </xdr:nvSpPr>
      <xdr:spPr bwMode="auto">
        <a:xfrm>
          <a:off x="1219200" y="1962150"/>
          <a:ext cx="485775" cy="0"/>
        </a:xfrm>
        <a:prstGeom prst="line">
          <a:avLst/>
        </a:prstGeom>
        <a:noFill/>
        <a:ln w="9525">
          <a:solidFill>
            <a:srgbClr val="000000"/>
          </a:solidFill>
          <a:round/>
          <a:headEnd/>
          <a:tailEnd/>
        </a:ln>
      </xdr:spPr>
    </xdr:sp>
    <xdr:clientData/>
  </xdr:twoCellAnchor>
  <xdr:twoCellAnchor>
    <xdr:from>
      <xdr:col>5</xdr:col>
      <xdr:colOff>257175</xdr:colOff>
      <xdr:row>9</xdr:row>
      <xdr:rowOff>152400</xdr:rowOff>
    </xdr:from>
    <xdr:to>
      <xdr:col>5</xdr:col>
      <xdr:colOff>257175</xdr:colOff>
      <xdr:row>18</xdr:row>
      <xdr:rowOff>95250</xdr:rowOff>
    </xdr:to>
    <xdr:sp macro="" textlink="">
      <xdr:nvSpPr>
        <xdr:cNvPr id="24" name="Line 23"/>
        <xdr:cNvSpPr>
          <a:spLocks noChangeShapeType="1"/>
        </xdr:cNvSpPr>
      </xdr:nvSpPr>
      <xdr:spPr bwMode="auto">
        <a:xfrm>
          <a:off x="3219450" y="1609725"/>
          <a:ext cx="0" cy="1400175"/>
        </a:xfrm>
        <a:prstGeom prst="line">
          <a:avLst/>
        </a:prstGeom>
        <a:noFill/>
        <a:ln w="9525">
          <a:solidFill>
            <a:srgbClr val="000000"/>
          </a:solidFill>
          <a:round/>
          <a:headEnd/>
          <a:tailEnd/>
        </a:ln>
      </xdr:spPr>
    </xdr:sp>
    <xdr:clientData/>
  </xdr:twoCellAnchor>
  <xdr:twoCellAnchor>
    <xdr:from>
      <xdr:col>5</xdr:col>
      <xdr:colOff>533400</xdr:colOff>
      <xdr:row>9</xdr:row>
      <xdr:rowOff>28575</xdr:rowOff>
    </xdr:from>
    <xdr:to>
      <xdr:col>5</xdr:col>
      <xdr:colOff>533400</xdr:colOff>
      <xdr:row>18</xdr:row>
      <xdr:rowOff>19050</xdr:rowOff>
    </xdr:to>
    <xdr:sp macro="" textlink="">
      <xdr:nvSpPr>
        <xdr:cNvPr id="25" name="Line 24"/>
        <xdr:cNvSpPr>
          <a:spLocks noChangeShapeType="1"/>
        </xdr:cNvSpPr>
      </xdr:nvSpPr>
      <xdr:spPr bwMode="auto">
        <a:xfrm>
          <a:off x="3495675" y="1485900"/>
          <a:ext cx="0" cy="1447800"/>
        </a:xfrm>
        <a:prstGeom prst="line">
          <a:avLst/>
        </a:prstGeom>
        <a:noFill/>
        <a:ln w="9525">
          <a:solidFill>
            <a:srgbClr val="000000"/>
          </a:solidFill>
          <a:round/>
          <a:headEnd/>
          <a:tailEnd/>
        </a:ln>
      </xdr:spPr>
    </xdr:sp>
    <xdr:clientData/>
  </xdr:twoCellAnchor>
  <xdr:twoCellAnchor>
    <xdr:from>
      <xdr:col>5</xdr:col>
      <xdr:colOff>266700</xdr:colOff>
      <xdr:row>9</xdr:row>
      <xdr:rowOff>19050</xdr:rowOff>
    </xdr:from>
    <xdr:to>
      <xdr:col>5</xdr:col>
      <xdr:colOff>552450</xdr:colOff>
      <xdr:row>9</xdr:row>
      <xdr:rowOff>152400</xdr:rowOff>
    </xdr:to>
    <xdr:sp macro="" textlink="">
      <xdr:nvSpPr>
        <xdr:cNvPr id="26" name="Line 25"/>
        <xdr:cNvSpPr>
          <a:spLocks noChangeShapeType="1"/>
        </xdr:cNvSpPr>
      </xdr:nvSpPr>
      <xdr:spPr bwMode="auto">
        <a:xfrm flipV="1">
          <a:off x="3228975" y="1476375"/>
          <a:ext cx="285750" cy="133350"/>
        </a:xfrm>
        <a:prstGeom prst="line">
          <a:avLst/>
        </a:prstGeom>
        <a:noFill/>
        <a:ln w="9525">
          <a:solidFill>
            <a:srgbClr val="000000"/>
          </a:solidFill>
          <a:round/>
          <a:headEnd/>
          <a:tailEnd/>
        </a:ln>
      </xdr:spPr>
    </xdr:sp>
    <xdr:clientData/>
  </xdr:twoCellAnchor>
  <xdr:twoCellAnchor>
    <xdr:from>
      <xdr:col>5</xdr:col>
      <xdr:colOff>542925</xdr:colOff>
      <xdr:row>9</xdr:row>
      <xdr:rowOff>38100</xdr:rowOff>
    </xdr:from>
    <xdr:to>
      <xdr:col>6</xdr:col>
      <xdr:colOff>333375</xdr:colOff>
      <xdr:row>9</xdr:row>
      <xdr:rowOff>38100</xdr:rowOff>
    </xdr:to>
    <xdr:sp macro="" textlink="">
      <xdr:nvSpPr>
        <xdr:cNvPr id="27" name="Line 26"/>
        <xdr:cNvSpPr>
          <a:spLocks noChangeShapeType="1"/>
        </xdr:cNvSpPr>
      </xdr:nvSpPr>
      <xdr:spPr bwMode="auto">
        <a:xfrm>
          <a:off x="3505200" y="1495425"/>
          <a:ext cx="400050" cy="0"/>
        </a:xfrm>
        <a:prstGeom prst="line">
          <a:avLst/>
        </a:prstGeom>
        <a:noFill/>
        <a:ln w="9525">
          <a:solidFill>
            <a:srgbClr val="000000"/>
          </a:solidFill>
          <a:round/>
          <a:headEnd/>
          <a:tailEnd/>
        </a:ln>
      </xdr:spPr>
    </xdr:sp>
    <xdr:clientData/>
  </xdr:twoCellAnchor>
  <xdr:twoCellAnchor>
    <xdr:from>
      <xdr:col>5</xdr:col>
      <xdr:colOff>266700</xdr:colOff>
      <xdr:row>9</xdr:row>
      <xdr:rowOff>152400</xdr:rowOff>
    </xdr:from>
    <xdr:to>
      <xdr:col>6</xdr:col>
      <xdr:colOff>28575</xdr:colOff>
      <xdr:row>9</xdr:row>
      <xdr:rowOff>152400</xdr:rowOff>
    </xdr:to>
    <xdr:sp macro="" textlink="">
      <xdr:nvSpPr>
        <xdr:cNvPr id="28" name="Line 27"/>
        <xdr:cNvSpPr>
          <a:spLocks noChangeShapeType="1"/>
        </xdr:cNvSpPr>
      </xdr:nvSpPr>
      <xdr:spPr bwMode="auto">
        <a:xfrm>
          <a:off x="3228975" y="1609725"/>
          <a:ext cx="371475" cy="0"/>
        </a:xfrm>
        <a:prstGeom prst="line">
          <a:avLst/>
        </a:prstGeom>
        <a:noFill/>
        <a:ln w="9525">
          <a:solidFill>
            <a:srgbClr val="000000"/>
          </a:solidFill>
          <a:round/>
          <a:headEnd/>
          <a:tailEnd/>
        </a:ln>
      </xdr:spPr>
    </xdr:sp>
    <xdr:clientData/>
  </xdr:twoCellAnchor>
  <xdr:twoCellAnchor>
    <xdr:from>
      <xdr:col>6</xdr:col>
      <xdr:colOff>0</xdr:colOff>
      <xdr:row>9</xdr:row>
      <xdr:rowOff>19050</xdr:rowOff>
    </xdr:from>
    <xdr:to>
      <xdr:col>6</xdr:col>
      <xdr:colOff>352425</xdr:colOff>
      <xdr:row>10</xdr:row>
      <xdr:rowOff>0</xdr:rowOff>
    </xdr:to>
    <xdr:sp macro="" textlink="">
      <xdr:nvSpPr>
        <xdr:cNvPr id="29" name="Line 28"/>
        <xdr:cNvSpPr>
          <a:spLocks noChangeShapeType="1"/>
        </xdr:cNvSpPr>
      </xdr:nvSpPr>
      <xdr:spPr bwMode="auto">
        <a:xfrm flipV="1">
          <a:off x="3571875" y="1476375"/>
          <a:ext cx="352425" cy="142875"/>
        </a:xfrm>
        <a:prstGeom prst="line">
          <a:avLst/>
        </a:prstGeom>
        <a:noFill/>
        <a:ln w="9525">
          <a:solidFill>
            <a:srgbClr val="000000"/>
          </a:solidFill>
          <a:round/>
          <a:headEnd/>
          <a:tailEnd/>
        </a:ln>
      </xdr:spPr>
    </xdr:sp>
    <xdr:clientData/>
  </xdr:twoCellAnchor>
  <xdr:twoCellAnchor>
    <xdr:from>
      <xdr:col>4</xdr:col>
      <xdr:colOff>238125</xdr:colOff>
      <xdr:row>11</xdr:row>
      <xdr:rowOff>19050</xdr:rowOff>
    </xdr:from>
    <xdr:to>
      <xdr:col>4</xdr:col>
      <xdr:colOff>238125</xdr:colOff>
      <xdr:row>15</xdr:row>
      <xdr:rowOff>104775</xdr:rowOff>
    </xdr:to>
    <xdr:sp macro="" textlink="">
      <xdr:nvSpPr>
        <xdr:cNvPr id="30" name="Line 29"/>
        <xdr:cNvSpPr>
          <a:spLocks noChangeShapeType="1"/>
        </xdr:cNvSpPr>
      </xdr:nvSpPr>
      <xdr:spPr bwMode="auto">
        <a:xfrm>
          <a:off x="2476500" y="1800225"/>
          <a:ext cx="0" cy="733425"/>
        </a:xfrm>
        <a:prstGeom prst="line">
          <a:avLst/>
        </a:prstGeom>
        <a:noFill/>
        <a:ln w="9525">
          <a:solidFill>
            <a:srgbClr val="000000"/>
          </a:solidFill>
          <a:round/>
          <a:headEnd/>
          <a:tailEnd/>
        </a:ln>
      </xdr:spPr>
    </xdr:sp>
    <xdr:clientData/>
  </xdr:twoCellAnchor>
  <xdr:twoCellAnchor>
    <xdr:from>
      <xdr:col>4</xdr:col>
      <xdr:colOff>561975</xdr:colOff>
      <xdr:row>10</xdr:row>
      <xdr:rowOff>85725</xdr:rowOff>
    </xdr:from>
    <xdr:to>
      <xdr:col>4</xdr:col>
      <xdr:colOff>561975</xdr:colOff>
      <xdr:row>15</xdr:row>
      <xdr:rowOff>66675</xdr:rowOff>
    </xdr:to>
    <xdr:sp macro="" textlink="">
      <xdr:nvSpPr>
        <xdr:cNvPr id="31" name="Line 30"/>
        <xdr:cNvSpPr>
          <a:spLocks noChangeShapeType="1"/>
        </xdr:cNvSpPr>
      </xdr:nvSpPr>
      <xdr:spPr bwMode="auto">
        <a:xfrm>
          <a:off x="2800350" y="1704975"/>
          <a:ext cx="0" cy="790575"/>
        </a:xfrm>
        <a:prstGeom prst="line">
          <a:avLst/>
        </a:prstGeom>
        <a:noFill/>
        <a:ln w="9525">
          <a:solidFill>
            <a:srgbClr val="000000"/>
          </a:solidFill>
          <a:round/>
          <a:headEnd/>
          <a:tailEnd/>
        </a:ln>
      </xdr:spPr>
    </xdr:sp>
    <xdr:clientData/>
  </xdr:twoCellAnchor>
  <xdr:twoCellAnchor>
    <xdr:from>
      <xdr:col>4</xdr:col>
      <xdr:colOff>247650</xdr:colOff>
      <xdr:row>10</xdr:row>
      <xdr:rowOff>95250</xdr:rowOff>
    </xdr:from>
    <xdr:to>
      <xdr:col>4</xdr:col>
      <xdr:colOff>571500</xdr:colOff>
      <xdr:row>11</xdr:row>
      <xdr:rowOff>19050</xdr:rowOff>
    </xdr:to>
    <xdr:sp macro="" textlink="">
      <xdr:nvSpPr>
        <xdr:cNvPr id="32" name="Line 31"/>
        <xdr:cNvSpPr>
          <a:spLocks noChangeShapeType="1"/>
        </xdr:cNvSpPr>
      </xdr:nvSpPr>
      <xdr:spPr bwMode="auto">
        <a:xfrm flipV="1">
          <a:off x="2486025" y="1714500"/>
          <a:ext cx="323850" cy="85725"/>
        </a:xfrm>
        <a:prstGeom prst="line">
          <a:avLst/>
        </a:prstGeom>
        <a:noFill/>
        <a:ln w="9525">
          <a:solidFill>
            <a:srgbClr val="000000"/>
          </a:solidFill>
          <a:round/>
          <a:headEnd/>
          <a:tailEnd/>
        </a:ln>
      </xdr:spPr>
    </xdr:sp>
    <xdr:clientData/>
  </xdr:twoCellAnchor>
  <xdr:twoCellAnchor>
    <xdr:from>
      <xdr:col>4</xdr:col>
      <xdr:colOff>247650</xdr:colOff>
      <xdr:row>15</xdr:row>
      <xdr:rowOff>19050</xdr:rowOff>
    </xdr:from>
    <xdr:to>
      <xdr:col>5</xdr:col>
      <xdr:colOff>9525</xdr:colOff>
      <xdr:row>15</xdr:row>
      <xdr:rowOff>95250</xdr:rowOff>
    </xdr:to>
    <xdr:sp macro="" textlink="">
      <xdr:nvSpPr>
        <xdr:cNvPr id="33" name="Line 32"/>
        <xdr:cNvSpPr>
          <a:spLocks noChangeShapeType="1"/>
        </xdr:cNvSpPr>
      </xdr:nvSpPr>
      <xdr:spPr bwMode="auto">
        <a:xfrm flipV="1">
          <a:off x="2486025" y="2447925"/>
          <a:ext cx="485775" cy="76200"/>
        </a:xfrm>
        <a:prstGeom prst="line">
          <a:avLst/>
        </a:prstGeom>
        <a:noFill/>
        <a:ln w="9525">
          <a:solidFill>
            <a:srgbClr val="000000"/>
          </a:solidFill>
          <a:round/>
          <a:headEnd/>
          <a:tailEnd/>
        </a:ln>
      </xdr:spPr>
    </xdr:sp>
    <xdr:clientData/>
  </xdr:twoCellAnchor>
  <xdr:twoCellAnchor>
    <xdr:from>
      <xdr:col>4</xdr:col>
      <xdr:colOff>561975</xdr:colOff>
      <xdr:row>10</xdr:row>
      <xdr:rowOff>114300</xdr:rowOff>
    </xdr:from>
    <xdr:to>
      <xdr:col>5</xdr:col>
      <xdr:colOff>238125</xdr:colOff>
      <xdr:row>10</xdr:row>
      <xdr:rowOff>114300</xdr:rowOff>
    </xdr:to>
    <xdr:sp macro="" textlink="">
      <xdr:nvSpPr>
        <xdr:cNvPr id="34" name="Line 33"/>
        <xdr:cNvSpPr>
          <a:spLocks noChangeShapeType="1"/>
        </xdr:cNvSpPr>
      </xdr:nvSpPr>
      <xdr:spPr bwMode="auto">
        <a:xfrm>
          <a:off x="2800350" y="1733550"/>
          <a:ext cx="400050" cy="0"/>
        </a:xfrm>
        <a:prstGeom prst="line">
          <a:avLst/>
        </a:prstGeom>
        <a:noFill/>
        <a:ln w="9525">
          <a:solidFill>
            <a:srgbClr val="000000"/>
          </a:solidFill>
          <a:round/>
          <a:headEnd/>
          <a:tailEnd/>
        </a:ln>
      </xdr:spPr>
    </xdr:sp>
    <xdr:clientData/>
  </xdr:twoCellAnchor>
  <xdr:twoCellAnchor>
    <xdr:from>
      <xdr:col>4</xdr:col>
      <xdr:colOff>238125</xdr:colOff>
      <xdr:row>11</xdr:row>
      <xdr:rowOff>38100</xdr:rowOff>
    </xdr:from>
    <xdr:to>
      <xdr:col>4</xdr:col>
      <xdr:colOff>542925</xdr:colOff>
      <xdr:row>11</xdr:row>
      <xdr:rowOff>38100</xdr:rowOff>
    </xdr:to>
    <xdr:sp macro="" textlink="">
      <xdr:nvSpPr>
        <xdr:cNvPr id="35" name="Line 34"/>
        <xdr:cNvSpPr>
          <a:spLocks noChangeShapeType="1"/>
        </xdr:cNvSpPr>
      </xdr:nvSpPr>
      <xdr:spPr bwMode="auto">
        <a:xfrm>
          <a:off x="2476500" y="1819275"/>
          <a:ext cx="304800" cy="0"/>
        </a:xfrm>
        <a:prstGeom prst="line">
          <a:avLst/>
        </a:prstGeom>
        <a:noFill/>
        <a:ln w="9525">
          <a:solidFill>
            <a:srgbClr val="000000"/>
          </a:solidFill>
          <a:round/>
          <a:headEnd/>
          <a:tailEnd/>
        </a:ln>
      </xdr:spPr>
    </xdr:sp>
    <xdr:clientData/>
  </xdr:twoCellAnchor>
  <xdr:twoCellAnchor>
    <xdr:from>
      <xdr:col>4</xdr:col>
      <xdr:colOff>523875</xdr:colOff>
      <xdr:row>10</xdr:row>
      <xdr:rowOff>123825</xdr:rowOff>
    </xdr:from>
    <xdr:to>
      <xdr:col>5</xdr:col>
      <xdr:colOff>200025</xdr:colOff>
      <xdr:row>11</xdr:row>
      <xdr:rowOff>38100</xdr:rowOff>
    </xdr:to>
    <xdr:sp macro="" textlink="">
      <xdr:nvSpPr>
        <xdr:cNvPr id="36" name="Line 35"/>
        <xdr:cNvSpPr>
          <a:spLocks noChangeShapeType="1"/>
        </xdr:cNvSpPr>
      </xdr:nvSpPr>
      <xdr:spPr bwMode="auto">
        <a:xfrm flipV="1">
          <a:off x="2762250" y="1743075"/>
          <a:ext cx="400050" cy="76200"/>
        </a:xfrm>
        <a:prstGeom prst="line">
          <a:avLst/>
        </a:prstGeom>
        <a:noFill/>
        <a:ln w="9525">
          <a:solidFill>
            <a:srgbClr val="000000"/>
          </a:solidFill>
          <a:round/>
          <a:headEnd/>
          <a:tailEnd/>
        </a:ln>
      </xdr:spPr>
    </xdr:sp>
    <xdr:clientData/>
  </xdr:twoCellAnchor>
  <xdr:twoCellAnchor>
    <xdr:from>
      <xdr:col>6</xdr:col>
      <xdr:colOff>57150</xdr:colOff>
      <xdr:row>17</xdr:row>
      <xdr:rowOff>104775</xdr:rowOff>
    </xdr:from>
    <xdr:to>
      <xdr:col>6</xdr:col>
      <xdr:colOff>228600</xdr:colOff>
      <xdr:row>17</xdr:row>
      <xdr:rowOff>152400</xdr:rowOff>
    </xdr:to>
    <xdr:sp macro="" textlink="">
      <xdr:nvSpPr>
        <xdr:cNvPr id="37" name="Line 36"/>
        <xdr:cNvSpPr>
          <a:spLocks noChangeShapeType="1"/>
        </xdr:cNvSpPr>
      </xdr:nvSpPr>
      <xdr:spPr bwMode="auto">
        <a:xfrm flipV="1">
          <a:off x="3629025" y="2857500"/>
          <a:ext cx="171450" cy="47625"/>
        </a:xfrm>
        <a:prstGeom prst="line">
          <a:avLst/>
        </a:prstGeom>
        <a:noFill/>
        <a:ln w="9525">
          <a:solidFill>
            <a:srgbClr val="000000"/>
          </a:solidFill>
          <a:round/>
          <a:headEnd/>
          <a:tailEnd/>
        </a:ln>
      </xdr:spPr>
    </xdr:sp>
    <xdr:clientData/>
  </xdr:twoCellAnchor>
  <xdr:twoCellAnchor>
    <xdr:from>
      <xdr:col>6</xdr:col>
      <xdr:colOff>209550</xdr:colOff>
      <xdr:row>17</xdr:row>
      <xdr:rowOff>95250</xdr:rowOff>
    </xdr:from>
    <xdr:to>
      <xdr:col>6</xdr:col>
      <xdr:colOff>209550</xdr:colOff>
      <xdr:row>18</xdr:row>
      <xdr:rowOff>123825</xdr:rowOff>
    </xdr:to>
    <xdr:sp macro="" textlink="">
      <xdr:nvSpPr>
        <xdr:cNvPr id="38" name="Line 38"/>
        <xdr:cNvSpPr>
          <a:spLocks noChangeShapeType="1"/>
        </xdr:cNvSpPr>
      </xdr:nvSpPr>
      <xdr:spPr bwMode="auto">
        <a:xfrm>
          <a:off x="3781425" y="2847975"/>
          <a:ext cx="0" cy="190500"/>
        </a:xfrm>
        <a:prstGeom prst="line">
          <a:avLst/>
        </a:prstGeom>
        <a:noFill/>
        <a:ln w="9525">
          <a:solidFill>
            <a:srgbClr val="000000"/>
          </a:solidFill>
          <a:round/>
          <a:headEnd/>
          <a:tailEnd/>
        </a:ln>
      </xdr:spPr>
    </xdr:sp>
    <xdr:clientData/>
  </xdr:twoCellAnchor>
  <xdr:twoCellAnchor>
    <xdr:from>
      <xdr:col>1</xdr:col>
      <xdr:colOff>485775</xdr:colOff>
      <xdr:row>18</xdr:row>
      <xdr:rowOff>142875</xdr:rowOff>
    </xdr:from>
    <xdr:to>
      <xdr:col>2</xdr:col>
      <xdr:colOff>314325</xdr:colOff>
      <xdr:row>18</xdr:row>
      <xdr:rowOff>142875</xdr:rowOff>
    </xdr:to>
    <xdr:sp macro="" textlink="">
      <xdr:nvSpPr>
        <xdr:cNvPr id="39" name="Line 39"/>
        <xdr:cNvSpPr>
          <a:spLocks noChangeShapeType="1"/>
        </xdr:cNvSpPr>
      </xdr:nvSpPr>
      <xdr:spPr bwMode="auto">
        <a:xfrm>
          <a:off x="904875" y="3057525"/>
          <a:ext cx="438150" cy="0"/>
        </a:xfrm>
        <a:prstGeom prst="line">
          <a:avLst/>
        </a:prstGeom>
        <a:noFill/>
        <a:ln w="9525">
          <a:solidFill>
            <a:srgbClr val="000000"/>
          </a:solidFill>
          <a:round/>
          <a:headEnd/>
          <a:tailEnd/>
        </a:ln>
      </xdr:spPr>
    </xdr:sp>
    <xdr:clientData/>
  </xdr:twoCellAnchor>
  <xdr:twoCellAnchor>
    <xdr:from>
      <xdr:col>3</xdr:col>
      <xdr:colOff>47625</xdr:colOff>
      <xdr:row>18</xdr:row>
      <xdr:rowOff>133350</xdr:rowOff>
    </xdr:from>
    <xdr:to>
      <xdr:col>4</xdr:col>
      <xdr:colOff>19050</xdr:colOff>
      <xdr:row>18</xdr:row>
      <xdr:rowOff>133350</xdr:rowOff>
    </xdr:to>
    <xdr:sp macro="" textlink="">
      <xdr:nvSpPr>
        <xdr:cNvPr id="40" name="Line 40"/>
        <xdr:cNvSpPr>
          <a:spLocks noChangeShapeType="1"/>
        </xdr:cNvSpPr>
      </xdr:nvSpPr>
      <xdr:spPr bwMode="auto">
        <a:xfrm>
          <a:off x="1676400" y="3048000"/>
          <a:ext cx="581025" cy="0"/>
        </a:xfrm>
        <a:prstGeom prst="line">
          <a:avLst/>
        </a:prstGeom>
        <a:noFill/>
        <a:ln w="9525">
          <a:solidFill>
            <a:srgbClr val="000000"/>
          </a:solidFill>
          <a:round/>
          <a:headEnd/>
          <a:tailEnd/>
        </a:ln>
      </xdr:spPr>
    </xdr:sp>
    <xdr:clientData/>
  </xdr:twoCellAnchor>
  <xdr:twoCellAnchor>
    <xdr:from>
      <xdr:col>4</xdr:col>
      <xdr:colOff>76200</xdr:colOff>
      <xdr:row>18</xdr:row>
      <xdr:rowOff>9525</xdr:rowOff>
    </xdr:from>
    <xdr:to>
      <xdr:col>4</xdr:col>
      <xdr:colOff>542925</xdr:colOff>
      <xdr:row>18</xdr:row>
      <xdr:rowOff>133350</xdr:rowOff>
    </xdr:to>
    <xdr:sp macro="" textlink="">
      <xdr:nvSpPr>
        <xdr:cNvPr id="41" name="Line 41"/>
        <xdr:cNvSpPr>
          <a:spLocks noChangeShapeType="1"/>
        </xdr:cNvSpPr>
      </xdr:nvSpPr>
      <xdr:spPr bwMode="auto">
        <a:xfrm flipV="1">
          <a:off x="2314575" y="2924175"/>
          <a:ext cx="466725" cy="123825"/>
        </a:xfrm>
        <a:prstGeom prst="line">
          <a:avLst/>
        </a:prstGeom>
        <a:noFill/>
        <a:ln w="9525">
          <a:solidFill>
            <a:srgbClr val="000000"/>
          </a:solidFill>
          <a:round/>
          <a:headEnd/>
          <a:tailEnd/>
        </a:ln>
      </xdr:spPr>
    </xdr:sp>
    <xdr:clientData/>
  </xdr:twoCellAnchor>
  <xdr:twoCellAnchor>
    <xdr:from>
      <xdr:col>48</xdr:col>
      <xdr:colOff>209550</xdr:colOff>
      <xdr:row>17</xdr:row>
      <xdr:rowOff>123825</xdr:rowOff>
    </xdr:from>
    <xdr:to>
      <xdr:col>48</xdr:col>
      <xdr:colOff>285750</xdr:colOff>
      <xdr:row>18</xdr:row>
      <xdr:rowOff>9525</xdr:rowOff>
    </xdr:to>
    <xdr:sp macro="" textlink="">
      <xdr:nvSpPr>
        <xdr:cNvPr id="42" name="Line 42"/>
        <xdr:cNvSpPr>
          <a:spLocks noChangeShapeType="1"/>
        </xdr:cNvSpPr>
      </xdr:nvSpPr>
      <xdr:spPr bwMode="auto">
        <a:xfrm flipV="1">
          <a:off x="29632275" y="2876550"/>
          <a:ext cx="76200" cy="47625"/>
        </a:xfrm>
        <a:prstGeom prst="line">
          <a:avLst/>
        </a:prstGeom>
        <a:noFill/>
        <a:ln w="9525">
          <a:solidFill>
            <a:srgbClr val="000000"/>
          </a:solidFill>
          <a:round/>
          <a:headEnd/>
          <a:tailEnd/>
        </a:ln>
      </xdr:spPr>
    </xdr:sp>
    <xdr:clientData/>
  </xdr:twoCellAnchor>
  <xdr:twoCellAnchor>
    <xdr:from>
      <xdr:col>5</xdr:col>
      <xdr:colOff>542925</xdr:colOff>
      <xdr:row>17</xdr:row>
      <xdr:rowOff>0</xdr:rowOff>
    </xdr:from>
    <xdr:to>
      <xdr:col>6</xdr:col>
      <xdr:colOff>19050</xdr:colOff>
      <xdr:row>17</xdr:row>
      <xdr:rowOff>19050</xdr:rowOff>
    </xdr:to>
    <xdr:sp macro="" textlink="">
      <xdr:nvSpPr>
        <xdr:cNvPr id="43" name="Line 44"/>
        <xdr:cNvSpPr>
          <a:spLocks noChangeShapeType="1"/>
        </xdr:cNvSpPr>
      </xdr:nvSpPr>
      <xdr:spPr bwMode="auto">
        <a:xfrm flipV="1">
          <a:off x="3505200" y="2752725"/>
          <a:ext cx="85725" cy="19050"/>
        </a:xfrm>
        <a:prstGeom prst="line">
          <a:avLst/>
        </a:prstGeom>
        <a:noFill/>
        <a:ln w="9525">
          <a:solidFill>
            <a:srgbClr val="000000"/>
          </a:solidFill>
          <a:round/>
          <a:headEnd/>
          <a:tailEnd/>
        </a:ln>
      </xdr:spPr>
    </xdr:sp>
    <xdr:clientData/>
  </xdr:twoCellAnchor>
  <xdr:twoCellAnchor>
    <xdr:from>
      <xdr:col>5</xdr:col>
      <xdr:colOff>209550</xdr:colOff>
      <xdr:row>17</xdr:row>
      <xdr:rowOff>104775</xdr:rowOff>
    </xdr:from>
    <xdr:to>
      <xdr:col>5</xdr:col>
      <xdr:colOff>266700</xdr:colOff>
      <xdr:row>17</xdr:row>
      <xdr:rowOff>104775</xdr:rowOff>
    </xdr:to>
    <xdr:sp macro="" textlink="">
      <xdr:nvSpPr>
        <xdr:cNvPr id="44" name="Line 45"/>
        <xdr:cNvSpPr>
          <a:spLocks noChangeShapeType="1"/>
        </xdr:cNvSpPr>
      </xdr:nvSpPr>
      <xdr:spPr bwMode="auto">
        <a:xfrm>
          <a:off x="3171825" y="2857500"/>
          <a:ext cx="57150" cy="0"/>
        </a:xfrm>
        <a:prstGeom prst="line">
          <a:avLst/>
        </a:prstGeom>
        <a:noFill/>
        <a:ln w="9525">
          <a:solidFill>
            <a:srgbClr val="000000"/>
          </a:solidFill>
          <a:round/>
          <a:headEnd/>
          <a:tailEnd/>
        </a:ln>
      </xdr:spPr>
    </xdr:sp>
    <xdr:clientData/>
  </xdr:twoCellAnchor>
  <xdr:twoCellAnchor>
    <xdr:from>
      <xdr:col>5</xdr:col>
      <xdr:colOff>209550</xdr:colOff>
      <xdr:row>18</xdr:row>
      <xdr:rowOff>114300</xdr:rowOff>
    </xdr:from>
    <xdr:to>
      <xdr:col>6</xdr:col>
      <xdr:colOff>66675</xdr:colOff>
      <xdr:row>18</xdr:row>
      <xdr:rowOff>114300</xdr:rowOff>
    </xdr:to>
    <xdr:sp macro="" textlink="">
      <xdr:nvSpPr>
        <xdr:cNvPr id="45" name="Line 46"/>
        <xdr:cNvSpPr>
          <a:spLocks noChangeShapeType="1"/>
        </xdr:cNvSpPr>
      </xdr:nvSpPr>
      <xdr:spPr bwMode="auto">
        <a:xfrm>
          <a:off x="3171825" y="3028950"/>
          <a:ext cx="466725" cy="0"/>
        </a:xfrm>
        <a:prstGeom prst="line">
          <a:avLst/>
        </a:prstGeom>
        <a:noFill/>
        <a:ln w="9525">
          <a:solidFill>
            <a:srgbClr val="000000"/>
          </a:solidFill>
          <a:round/>
          <a:headEnd/>
          <a:tailEnd/>
        </a:ln>
      </xdr:spPr>
    </xdr:sp>
    <xdr:clientData/>
  </xdr:twoCellAnchor>
  <xdr:twoCellAnchor>
    <xdr:from>
      <xdr:col>5</xdr:col>
      <xdr:colOff>590550</xdr:colOff>
      <xdr:row>18</xdr:row>
      <xdr:rowOff>9525</xdr:rowOff>
    </xdr:from>
    <xdr:to>
      <xdr:col>6</xdr:col>
      <xdr:colOff>276225</xdr:colOff>
      <xdr:row>18</xdr:row>
      <xdr:rowOff>9525</xdr:rowOff>
    </xdr:to>
    <xdr:sp macro="" textlink="">
      <xdr:nvSpPr>
        <xdr:cNvPr id="46" name="Line 47"/>
        <xdr:cNvSpPr>
          <a:spLocks noChangeShapeType="1"/>
        </xdr:cNvSpPr>
      </xdr:nvSpPr>
      <xdr:spPr bwMode="auto">
        <a:xfrm>
          <a:off x="3552825" y="2924175"/>
          <a:ext cx="295275" cy="0"/>
        </a:xfrm>
        <a:prstGeom prst="line">
          <a:avLst/>
        </a:prstGeom>
        <a:noFill/>
        <a:ln w="9525">
          <a:solidFill>
            <a:srgbClr val="000000"/>
          </a:solidFill>
          <a:round/>
          <a:headEnd/>
          <a:tailEnd/>
        </a:ln>
      </xdr:spPr>
    </xdr:sp>
    <xdr:clientData/>
  </xdr:twoCellAnchor>
  <xdr:twoCellAnchor>
    <xdr:from>
      <xdr:col>6</xdr:col>
      <xdr:colOff>66675</xdr:colOff>
      <xdr:row>17</xdr:row>
      <xdr:rowOff>152400</xdr:rowOff>
    </xdr:from>
    <xdr:to>
      <xdr:col>6</xdr:col>
      <xdr:colOff>304800</xdr:colOff>
      <xdr:row>18</xdr:row>
      <xdr:rowOff>114300</xdr:rowOff>
    </xdr:to>
    <xdr:sp macro="" textlink="">
      <xdr:nvSpPr>
        <xdr:cNvPr id="47" name="Line 48"/>
        <xdr:cNvSpPr>
          <a:spLocks noChangeShapeType="1"/>
        </xdr:cNvSpPr>
      </xdr:nvSpPr>
      <xdr:spPr bwMode="auto">
        <a:xfrm flipV="1">
          <a:off x="3638550" y="2905125"/>
          <a:ext cx="238125" cy="123825"/>
        </a:xfrm>
        <a:prstGeom prst="line">
          <a:avLst/>
        </a:prstGeom>
        <a:noFill/>
        <a:ln w="9525">
          <a:solidFill>
            <a:srgbClr val="000000"/>
          </a:solidFill>
          <a:round/>
          <a:headEnd/>
          <a:tailEnd/>
        </a:ln>
      </xdr:spPr>
    </xdr:sp>
    <xdr:clientData/>
  </xdr:twoCellAnchor>
  <xdr:twoCellAnchor>
    <xdr:from>
      <xdr:col>5</xdr:col>
      <xdr:colOff>142875</xdr:colOff>
      <xdr:row>19</xdr:row>
      <xdr:rowOff>57150</xdr:rowOff>
    </xdr:from>
    <xdr:to>
      <xdr:col>6</xdr:col>
      <xdr:colOff>133350</xdr:colOff>
      <xdr:row>19</xdr:row>
      <xdr:rowOff>57150</xdr:rowOff>
    </xdr:to>
    <xdr:sp macro="" textlink="">
      <xdr:nvSpPr>
        <xdr:cNvPr id="48" name="Line 49"/>
        <xdr:cNvSpPr>
          <a:spLocks noChangeShapeType="1"/>
        </xdr:cNvSpPr>
      </xdr:nvSpPr>
      <xdr:spPr bwMode="auto">
        <a:xfrm>
          <a:off x="3105150" y="3133725"/>
          <a:ext cx="600075" cy="0"/>
        </a:xfrm>
        <a:prstGeom prst="line">
          <a:avLst/>
        </a:prstGeom>
        <a:noFill/>
        <a:ln w="9525">
          <a:solidFill>
            <a:srgbClr val="000000"/>
          </a:solidFill>
          <a:round/>
          <a:headEnd/>
          <a:tailEnd/>
        </a:ln>
      </xdr:spPr>
    </xdr:sp>
    <xdr:clientData/>
  </xdr:twoCellAnchor>
  <xdr:twoCellAnchor>
    <xdr:from>
      <xdr:col>6</xdr:col>
      <xdr:colOff>304800</xdr:colOff>
      <xdr:row>18</xdr:row>
      <xdr:rowOff>76200</xdr:rowOff>
    </xdr:from>
    <xdr:to>
      <xdr:col>6</xdr:col>
      <xdr:colOff>457200</xdr:colOff>
      <xdr:row>18</xdr:row>
      <xdr:rowOff>76200</xdr:rowOff>
    </xdr:to>
    <xdr:sp macro="" textlink="">
      <xdr:nvSpPr>
        <xdr:cNvPr id="49" name="Line 50"/>
        <xdr:cNvSpPr>
          <a:spLocks noChangeShapeType="1"/>
        </xdr:cNvSpPr>
      </xdr:nvSpPr>
      <xdr:spPr bwMode="auto">
        <a:xfrm>
          <a:off x="3876675" y="2990850"/>
          <a:ext cx="152400" cy="0"/>
        </a:xfrm>
        <a:prstGeom prst="line">
          <a:avLst/>
        </a:prstGeom>
        <a:noFill/>
        <a:ln w="9525">
          <a:solidFill>
            <a:srgbClr val="000000"/>
          </a:solidFill>
          <a:round/>
          <a:headEnd/>
          <a:tailEnd/>
        </a:ln>
      </xdr:spPr>
    </xdr:sp>
    <xdr:clientData/>
  </xdr:twoCellAnchor>
  <xdr:twoCellAnchor>
    <xdr:from>
      <xdr:col>6</xdr:col>
      <xdr:colOff>104775</xdr:colOff>
      <xdr:row>18</xdr:row>
      <xdr:rowOff>66675</xdr:rowOff>
    </xdr:from>
    <xdr:to>
      <xdr:col>6</xdr:col>
      <xdr:colOff>466725</xdr:colOff>
      <xdr:row>19</xdr:row>
      <xdr:rowOff>57150</xdr:rowOff>
    </xdr:to>
    <xdr:sp macro="" textlink="">
      <xdr:nvSpPr>
        <xdr:cNvPr id="50" name="Line 51"/>
        <xdr:cNvSpPr>
          <a:spLocks noChangeShapeType="1"/>
        </xdr:cNvSpPr>
      </xdr:nvSpPr>
      <xdr:spPr bwMode="auto">
        <a:xfrm flipV="1">
          <a:off x="3676650" y="2981325"/>
          <a:ext cx="361950" cy="152400"/>
        </a:xfrm>
        <a:prstGeom prst="line">
          <a:avLst/>
        </a:prstGeom>
        <a:noFill/>
        <a:ln w="9525">
          <a:solidFill>
            <a:srgbClr val="000000"/>
          </a:solidFill>
          <a:round/>
          <a:headEnd/>
          <a:tailEnd/>
        </a:ln>
      </xdr:spPr>
    </xdr:sp>
    <xdr:clientData/>
  </xdr:twoCellAnchor>
  <xdr:twoCellAnchor>
    <xdr:from>
      <xdr:col>5</xdr:col>
      <xdr:colOff>161925</xdr:colOff>
      <xdr:row>20</xdr:row>
      <xdr:rowOff>19050</xdr:rowOff>
    </xdr:from>
    <xdr:to>
      <xdr:col>6</xdr:col>
      <xdr:colOff>114300</xdr:colOff>
      <xdr:row>20</xdr:row>
      <xdr:rowOff>19050</xdr:rowOff>
    </xdr:to>
    <xdr:sp macro="" textlink="">
      <xdr:nvSpPr>
        <xdr:cNvPr id="51" name="Line 52"/>
        <xdr:cNvSpPr>
          <a:spLocks noChangeShapeType="1"/>
        </xdr:cNvSpPr>
      </xdr:nvSpPr>
      <xdr:spPr bwMode="auto">
        <a:xfrm>
          <a:off x="3124200" y="3257550"/>
          <a:ext cx="561975" cy="0"/>
        </a:xfrm>
        <a:prstGeom prst="line">
          <a:avLst/>
        </a:prstGeom>
        <a:noFill/>
        <a:ln w="9525">
          <a:solidFill>
            <a:srgbClr val="000000"/>
          </a:solidFill>
          <a:round/>
          <a:headEnd/>
          <a:tailEnd/>
        </a:ln>
      </xdr:spPr>
    </xdr:sp>
    <xdr:clientData/>
  </xdr:twoCellAnchor>
  <xdr:twoCellAnchor>
    <xdr:from>
      <xdr:col>6</xdr:col>
      <xdr:colOff>123825</xdr:colOff>
      <xdr:row>19</xdr:row>
      <xdr:rowOff>28575</xdr:rowOff>
    </xdr:from>
    <xdr:to>
      <xdr:col>6</xdr:col>
      <xdr:colOff>466725</xdr:colOff>
      <xdr:row>20</xdr:row>
      <xdr:rowOff>28575</xdr:rowOff>
    </xdr:to>
    <xdr:sp macro="" textlink="">
      <xdr:nvSpPr>
        <xdr:cNvPr id="52" name="Line 53"/>
        <xdr:cNvSpPr>
          <a:spLocks noChangeShapeType="1"/>
        </xdr:cNvSpPr>
      </xdr:nvSpPr>
      <xdr:spPr bwMode="auto">
        <a:xfrm flipV="1">
          <a:off x="3695700" y="3105150"/>
          <a:ext cx="342900" cy="161925"/>
        </a:xfrm>
        <a:prstGeom prst="line">
          <a:avLst/>
        </a:prstGeom>
        <a:noFill/>
        <a:ln w="9525">
          <a:solidFill>
            <a:srgbClr val="000000"/>
          </a:solidFill>
          <a:round/>
          <a:headEnd/>
          <a:tailEnd/>
        </a:ln>
      </xdr:spPr>
    </xdr:sp>
    <xdr:clientData/>
  </xdr:twoCellAnchor>
  <xdr:twoCellAnchor>
    <xdr:from>
      <xdr:col>6</xdr:col>
      <xdr:colOff>438150</xdr:colOff>
      <xdr:row>18</xdr:row>
      <xdr:rowOff>76200</xdr:rowOff>
    </xdr:from>
    <xdr:to>
      <xdr:col>6</xdr:col>
      <xdr:colOff>438150</xdr:colOff>
      <xdr:row>19</xdr:row>
      <xdr:rowOff>47625</xdr:rowOff>
    </xdr:to>
    <xdr:sp macro="" textlink="">
      <xdr:nvSpPr>
        <xdr:cNvPr id="53" name="Line 54"/>
        <xdr:cNvSpPr>
          <a:spLocks noChangeShapeType="1"/>
        </xdr:cNvSpPr>
      </xdr:nvSpPr>
      <xdr:spPr bwMode="auto">
        <a:xfrm>
          <a:off x="4010025" y="2990850"/>
          <a:ext cx="0" cy="133350"/>
        </a:xfrm>
        <a:prstGeom prst="line">
          <a:avLst/>
        </a:prstGeom>
        <a:noFill/>
        <a:ln w="9525">
          <a:solidFill>
            <a:srgbClr val="000000"/>
          </a:solidFill>
          <a:round/>
          <a:headEnd/>
          <a:tailEnd/>
        </a:ln>
      </xdr:spPr>
    </xdr:sp>
    <xdr:clientData/>
  </xdr:twoCellAnchor>
  <xdr:twoCellAnchor>
    <xdr:from>
      <xdr:col>6</xdr:col>
      <xdr:colOff>133350</xdr:colOff>
      <xdr:row>19</xdr:row>
      <xdr:rowOff>47625</xdr:rowOff>
    </xdr:from>
    <xdr:to>
      <xdr:col>6</xdr:col>
      <xdr:colOff>133350</xdr:colOff>
      <xdr:row>20</xdr:row>
      <xdr:rowOff>9525</xdr:rowOff>
    </xdr:to>
    <xdr:sp macro="" textlink="">
      <xdr:nvSpPr>
        <xdr:cNvPr id="54" name="Line 55"/>
        <xdr:cNvSpPr>
          <a:spLocks noChangeShapeType="1"/>
        </xdr:cNvSpPr>
      </xdr:nvSpPr>
      <xdr:spPr bwMode="auto">
        <a:xfrm>
          <a:off x="3705225" y="3124200"/>
          <a:ext cx="0" cy="123825"/>
        </a:xfrm>
        <a:prstGeom prst="line">
          <a:avLst/>
        </a:prstGeom>
        <a:noFill/>
        <a:ln w="9525">
          <a:solidFill>
            <a:srgbClr val="000000"/>
          </a:solidFill>
          <a:round/>
          <a:headEnd/>
          <a:tailEnd/>
        </a:ln>
      </xdr:spPr>
    </xdr:sp>
    <xdr:clientData/>
  </xdr:twoCellAnchor>
  <xdr:twoCellAnchor>
    <xdr:from>
      <xdr:col>6</xdr:col>
      <xdr:colOff>66675</xdr:colOff>
      <xdr:row>18</xdr:row>
      <xdr:rowOff>114300</xdr:rowOff>
    </xdr:from>
    <xdr:to>
      <xdr:col>6</xdr:col>
      <xdr:colOff>66675</xdr:colOff>
      <xdr:row>19</xdr:row>
      <xdr:rowOff>66675</xdr:rowOff>
    </xdr:to>
    <xdr:sp macro="" textlink="">
      <xdr:nvSpPr>
        <xdr:cNvPr id="55" name="Line 56"/>
        <xdr:cNvSpPr>
          <a:spLocks noChangeShapeType="1"/>
        </xdr:cNvSpPr>
      </xdr:nvSpPr>
      <xdr:spPr bwMode="auto">
        <a:xfrm>
          <a:off x="3638550" y="3028950"/>
          <a:ext cx="0" cy="114300"/>
        </a:xfrm>
        <a:prstGeom prst="line">
          <a:avLst/>
        </a:prstGeom>
        <a:noFill/>
        <a:ln w="9525">
          <a:solidFill>
            <a:srgbClr val="000000"/>
          </a:solidFill>
          <a:round/>
          <a:headEnd/>
          <a:tailEnd/>
        </a:ln>
      </xdr:spPr>
    </xdr:sp>
    <xdr:clientData/>
  </xdr:twoCellAnchor>
  <xdr:twoCellAnchor>
    <xdr:from>
      <xdr:col>6</xdr:col>
      <xdr:colOff>276225</xdr:colOff>
      <xdr:row>18</xdr:row>
      <xdr:rowOff>19050</xdr:rowOff>
    </xdr:from>
    <xdr:to>
      <xdr:col>6</xdr:col>
      <xdr:colOff>285750</xdr:colOff>
      <xdr:row>18</xdr:row>
      <xdr:rowOff>104775</xdr:rowOff>
    </xdr:to>
    <xdr:sp macro="" textlink="">
      <xdr:nvSpPr>
        <xdr:cNvPr id="56" name="Line 57"/>
        <xdr:cNvSpPr>
          <a:spLocks noChangeShapeType="1"/>
        </xdr:cNvSpPr>
      </xdr:nvSpPr>
      <xdr:spPr bwMode="auto">
        <a:xfrm>
          <a:off x="3848100" y="2933700"/>
          <a:ext cx="9525" cy="85725"/>
        </a:xfrm>
        <a:prstGeom prst="line">
          <a:avLst/>
        </a:prstGeom>
        <a:noFill/>
        <a:ln w="9525">
          <a:solidFill>
            <a:srgbClr val="000000"/>
          </a:solidFill>
          <a:round/>
          <a:headEnd/>
          <a:tailEnd/>
        </a:ln>
      </xdr:spPr>
    </xdr:sp>
    <xdr:clientData/>
  </xdr:twoCellAnchor>
  <xdr:twoCellAnchor>
    <xdr:from>
      <xdr:col>5</xdr:col>
      <xdr:colOff>114300</xdr:colOff>
      <xdr:row>19</xdr:row>
      <xdr:rowOff>57150</xdr:rowOff>
    </xdr:from>
    <xdr:to>
      <xdr:col>5</xdr:col>
      <xdr:colOff>123825</xdr:colOff>
      <xdr:row>20</xdr:row>
      <xdr:rowOff>19050</xdr:rowOff>
    </xdr:to>
    <xdr:sp macro="" textlink="">
      <xdr:nvSpPr>
        <xdr:cNvPr id="57" name="Line 58"/>
        <xdr:cNvSpPr>
          <a:spLocks noChangeShapeType="1"/>
        </xdr:cNvSpPr>
      </xdr:nvSpPr>
      <xdr:spPr bwMode="auto">
        <a:xfrm>
          <a:off x="3076575" y="3133725"/>
          <a:ext cx="9525" cy="123825"/>
        </a:xfrm>
        <a:prstGeom prst="line">
          <a:avLst/>
        </a:prstGeom>
        <a:noFill/>
        <a:ln w="9525">
          <a:solidFill>
            <a:srgbClr val="000000"/>
          </a:solidFill>
          <a:round/>
          <a:headEnd/>
          <a:tailEnd/>
        </a:ln>
      </xdr:spPr>
    </xdr:sp>
    <xdr:clientData/>
  </xdr:twoCellAnchor>
  <xdr:twoCellAnchor>
    <xdr:from>
      <xdr:col>5</xdr:col>
      <xdr:colOff>219075</xdr:colOff>
      <xdr:row>18</xdr:row>
      <xdr:rowOff>104775</xdr:rowOff>
    </xdr:from>
    <xdr:to>
      <xdr:col>5</xdr:col>
      <xdr:colOff>219075</xdr:colOff>
      <xdr:row>19</xdr:row>
      <xdr:rowOff>47625</xdr:rowOff>
    </xdr:to>
    <xdr:sp macro="" textlink="">
      <xdr:nvSpPr>
        <xdr:cNvPr id="58" name="Line 59"/>
        <xdr:cNvSpPr>
          <a:spLocks noChangeShapeType="1"/>
        </xdr:cNvSpPr>
      </xdr:nvSpPr>
      <xdr:spPr bwMode="auto">
        <a:xfrm>
          <a:off x="3181350" y="3019425"/>
          <a:ext cx="0" cy="104775"/>
        </a:xfrm>
        <a:prstGeom prst="line">
          <a:avLst/>
        </a:prstGeom>
        <a:noFill/>
        <a:ln w="9525">
          <a:solidFill>
            <a:srgbClr val="000000"/>
          </a:solidFill>
          <a:round/>
          <a:headEnd/>
          <a:tailEnd/>
        </a:ln>
      </xdr:spPr>
    </xdr:sp>
    <xdr:clientData/>
  </xdr:twoCellAnchor>
  <xdr:twoCellAnchor>
    <xdr:from>
      <xdr:col>2</xdr:col>
      <xdr:colOff>400050</xdr:colOff>
      <xdr:row>14</xdr:row>
      <xdr:rowOff>76200</xdr:rowOff>
    </xdr:from>
    <xdr:to>
      <xdr:col>2</xdr:col>
      <xdr:colOff>600075</xdr:colOff>
      <xdr:row>14</xdr:row>
      <xdr:rowOff>76200</xdr:rowOff>
    </xdr:to>
    <xdr:sp macro="" textlink="">
      <xdr:nvSpPr>
        <xdr:cNvPr id="59" name="Line 60"/>
        <xdr:cNvSpPr>
          <a:spLocks noChangeShapeType="1"/>
        </xdr:cNvSpPr>
      </xdr:nvSpPr>
      <xdr:spPr bwMode="auto">
        <a:xfrm>
          <a:off x="1428750" y="2343150"/>
          <a:ext cx="200025" cy="0"/>
        </a:xfrm>
        <a:prstGeom prst="line">
          <a:avLst/>
        </a:prstGeom>
        <a:noFill/>
        <a:ln w="9525">
          <a:solidFill>
            <a:srgbClr val="000000"/>
          </a:solidFill>
          <a:round/>
          <a:headEnd/>
          <a:tailEnd/>
        </a:ln>
      </xdr:spPr>
    </xdr:sp>
    <xdr:clientData/>
  </xdr:twoCellAnchor>
  <xdr:twoCellAnchor>
    <xdr:from>
      <xdr:col>3</xdr:col>
      <xdr:colOff>171450</xdr:colOff>
      <xdr:row>14</xdr:row>
      <xdr:rowOff>85725</xdr:rowOff>
    </xdr:from>
    <xdr:to>
      <xdr:col>3</xdr:col>
      <xdr:colOff>238125</xdr:colOff>
      <xdr:row>14</xdr:row>
      <xdr:rowOff>85725</xdr:rowOff>
    </xdr:to>
    <xdr:sp macro="" textlink="">
      <xdr:nvSpPr>
        <xdr:cNvPr id="60" name="Line 61"/>
        <xdr:cNvSpPr>
          <a:spLocks noChangeShapeType="1"/>
        </xdr:cNvSpPr>
      </xdr:nvSpPr>
      <xdr:spPr bwMode="auto">
        <a:xfrm>
          <a:off x="1800225" y="2352675"/>
          <a:ext cx="66675" cy="0"/>
        </a:xfrm>
        <a:prstGeom prst="line">
          <a:avLst/>
        </a:prstGeom>
        <a:noFill/>
        <a:ln w="9525">
          <a:solidFill>
            <a:srgbClr val="000000"/>
          </a:solidFill>
          <a:round/>
          <a:headEnd/>
          <a:tailEnd/>
        </a:ln>
      </xdr:spPr>
    </xdr:sp>
    <xdr:clientData/>
  </xdr:twoCellAnchor>
  <xdr:twoCellAnchor>
    <xdr:from>
      <xdr:col>3</xdr:col>
      <xdr:colOff>304800</xdr:colOff>
      <xdr:row>11</xdr:row>
      <xdr:rowOff>95250</xdr:rowOff>
    </xdr:from>
    <xdr:to>
      <xdr:col>3</xdr:col>
      <xdr:colOff>304800</xdr:colOff>
      <xdr:row>13</xdr:row>
      <xdr:rowOff>66675</xdr:rowOff>
    </xdr:to>
    <xdr:sp macro="" textlink="">
      <xdr:nvSpPr>
        <xdr:cNvPr id="61" name="Line 62"/>
        <xdr:cNvSpPr>
          <a:spLocks noChangeShapeType="1"/>
        </xdr:cNvSpPr>
      </xdr:nvSpPr>
      <xdr:spPr bwMode="auto">
        <a:xfrm>
          <a:off x="1933575" y="1876425"/>
          <a:ext cx="0" cy="295275"/>
        </a:xfrm>
        <a:prstGeom prst="line">
          <a:avLst/>
        </a:prstGeom>
        <a:noFill/>
        <a:ln w="9525">
          <a:solidFill>
            <a:srgbClr val="000000"/>
          </a:solidFill>
          <a:round/>
          <a:headEnd/>
          <a:tailEnd/>
        </a:ln>
      </xdr:spPr>
    </xdr:sp>
    <xdr:clientData/>
  </xdr:twoCellAnchor>
  <xdr:twoCellAnchor>
    <xdr:from>
      <xdr:col>3</xdr:col>
      <xdr:colOff>304800</xdr:colOff>
      <xdr:row>14</xdr:row>
      <xdr:rowOff>9525</xdr:rowOff>
    </xdr:from>
    <xdr:to>
      <xdr:col>3</xdr:col>
      <xdr:colOff>304800</xdr:colOff>
      <xdr:row>15</xdr:row>
      <xdr:rowOff>152400</xdr:rowOff>
    </xdr:to>
    <xdr:sp macro="" textlink="">
      <xdr:nvSpPr>
        <xdr:cNvPr id="62" name="Line 63"/>
        <xdr:cNvSpPr>
          <a:spLocks noChangeShapeType="1"/>
        </xdr:cNvSpPr>
      </xdr:nvSpPr>
      <xdr:spPr bwMode="auto">
        <a:xfrm>
          <a:off x="1933575" y="2276475"/>
          <a:ext cx="0" cy="304800"/>
        </a:xfrm>
        <a:prstGeom prst="line">
          <a:avLst/>
        </a:prstGeom>
        <a:noFill/>
        <a:ln w="9525">
          <a:solidFill>
            <a:srgbClr val="000000"/>
          </a:solidFill>
          <a:round/>
          <a:headEnd/>
          <a:tailEnd/>
        </a:ln>
      </xdr:spPr>
    </xdr:sp>
    <xdr:clientData/>
  </xdr:twoCellAnchor>
  <xdr:twoCellAnchor>
    <xdr:from>
      <xdr:col>3</xdr:col>
      <xdr:colOff>266700</xdr:colOff>
      <xdr:row>11</xdr:row>
      <xdr:rowOff>95250</xdr:rowOff>
    </xdr:from>
    <xdr:to>
      <xdr:col>3</xdr:col>
      <xdr:colOff>371475</xdr:colOff>
      <xdr:row>11</xdr:row>
      <xdr:rowOff>95250</xdr:rowOff>
    </xdr:to>
    <xdr:sp macro="" textlink="">
      <xdr:nvSpPr>
        <xdr:cNvPr id="63" name="Line 64"/>
        <xdr:cNvSpPr>
          <a:spLocks noChangeShapeType="1"/>
        </xdr:cNvSpPr>
      </xdr:nvSpPr>
      <xdr:spPr bwMode="auto">
        <a:xfrm>
          <a:off x="1895475" y="1876425"/>
          <a:ext cx="104775" cy="0"/>
        </a:xfrm>
        <a:prstGeom prst="line">
          <a:avLst/>
        </a:prstGeom>
        <a:noFill/>
        <a:ln w="9525">
          <a:solidFill>
            <a:srgbClr val="000000"/>
          </a:solidFill>
          <a:round/>
          <a:headEnd/>
          <a:tailEnd/>
        </a:ln>
      </xdr:spPr>
    </xdr:sp>
    <xdr:clientData/>
  </xdr:twoCellAnchor>
  <xdr:twoCellAnchor>
    <xdr:from>
      <xdr:col>2</xdr:col>
      <xdr:colOff>361950</xdr:colOff>
      <xdr:row>14</xdr:row>
      <xdr:rowOff>9525</xdr:rowOff>
    </xdr:from>
    <xdr:to>
      <xdr:col>2</xdr:col>
      <xdr:colOff>438150</xdr:colOff>
      <xdr:row>14</xdr:row>
      <xdr:rowOff>95250</xdr:rowOff>
    </xdr:to>
    <xdr:sp macro="" textlink="">
      <xdr:nvSpPr>
        <xdr:cNvPr id="64" name="Line 65"/>
        <xdr:cNvSpPr>
          <a:spLocks noChangeShapeType="1"/>
        </xdr:cNvSpPr>
      </xdr:nvSpPr>
      <xdr:spPr bwMode="auto">
        <a:xfrm flipV="1">
          <a:off x="1390650" y="2276475"/>
          <a:ext cx="76200" cy="85725"/>
        </a:xfrm>
        <a:prstGeom prst="line">
          <a:avLst/>
        </a:prstGeom>
        <a:noFill/>
        <a:ln w="9525">
          <a:solidFill>
            <a:srgbClr val="000000"/>
          </a:solidFill>
          <a:round/>
          <a:headEnd/>
          <a:tailEnd/>
        </a:ln>
      </xdr:spPr>
    </xdr:sp>
    <xdr:clientData/>
  </xdr:twoCellAnchor>
  <xdr:twoCellAnchor>
    <xdr:from>
      <xdr:col>3</xdr:col>
      <xdr:colOff>200025</xdr:colOff>
      <xdr:row>14</xdr:row>
      <xdr:rowOff>57150</xdr:rowOff>
    </xdr:from>
    <xdr:to>
      <xdr:col>3</xdr:col>
      <xdr:colOff>257175</xdr:colOff>
      <xdr:row>14</xdr:row>
      <xdr:rowOff>114300</xdr:rowOff>
    </xdr:to>
    <xdr:sp macro="" textlink="">
      <xdr:nvSpPr>
        <xdr:cNvPr id="65" name="Line 66"/>
        <xdr:cNvSpPr>
          <a:spLocks noChangeShapeType="1"/>
        </xdr:cNvSpPr>
      </xdr:nvSpPr>
      <xdr:spPr bwMode="auto">
        <a:xfrm flipV="1">
          <a:off x="1828800" y="2324100"/>
          <a:ext cx="57150" cy="57150"/>
        </a:xfrm>
        <a:prstGeom prst="line">
          <a:avLst/>
        </a:prstGeom>
        <a:noFill/>
        <a:ln w="9525">
          <a:solidFill>
            <a:srgbClr val="000000"/>
          </a:solidFill>
          <a:round/>
          <a:headEnd/>
          <a:tailEnd/>
        </a:ln>
      </xdr:spPr>
    </xdr:sp>
    <xdr:clientData/>
  </xdr:twoCellAnchor>
  <xdr:twoCellAnchor>
    <xdr:from>
      <xdr:col>1</xdr:col>
      <xdr:colOff>257175</xdr:colOff>
      <xdr:row>7</xdr:row>
      <xdr:rowOff>114300</xdr:rowOff>
    </xdr:from>
    <xdr:to>
      <xdr:col>2</xdr:col>
      <xdr:colOff>190500</xdr:colOff>
      <xdr:row>8</xdr:row>
      <xdr:rowOff>47625</xdr:rowOff>
    </xdr:to>
    <xdr:sp macro="" textlink="">
      <xdr:nvSpPr>
        <xdr:cNvPr id="66" name="Line 67"/>
        <xdr:cNvSpPr>
          <a:spLocks noChangeShapeType="1"/>
        </xdr:cNvSpPr>
      </xdr:nvSpPr>
      <xdr:spPr bwMode="auto">
        <a:xfrm flipV="1">
          <a:off x="676275" y="1247775"/>
          <a:ext cx="542925" cy="95250"/>
        </a:xfrm>
        <a:prstGeom prst="line">
          <a:avLst/>
        </a:prstGeom>
        <a:noFill/>
        <a:ln w="9525">
          <a:solidFill>
            <a:srgbClr val="000000"/>
          </a:solidFill>
          <a:round/>
          <a:headEnd/>
          <a:tailEnd/>
        </a:ln>
      </xdr:spPr>
    </xdr:sp>
    <xdr:clientData/>
  </xdr:twoCellAnchor>
  <xdr:twoCellAnchor>
    <xdr:from>
      <xdr:col>2</xdr:col>
      <xdr:colOff>447675</xdr:colOff>
      <xdr:row>6</xdr:row>
      <xdr:rowOff>47625</xdr:rowOff>
    </xdr:from>
    <xdr:to>
      <xdr:col>4</xdr:col>
      <xdr:colOff>419100</xdr:colOff>
      <xdr:row>7</xdr:row>
      <xdr:rowOff>76200</xdr:rowOff>
    </xdr:to>
    <xdr:sp macro="" textlink="">
      <xdr:nvSpPr>
        <xdr:cNvPr id="67" name="Line 68"/>
        <xdr:cNvSpPr>
          <a:spLocks noChangeShapeType="1"/>
        </xdr:cNvSpPr>
      </xdr:nvSpPr>
      <xdr:spPr bwMode="auto">
        <a:xfrm flipV="1">
          <a:off x="1476375" y="1019175"/>
          <a:ext cx="1181100" cy="190500"/>
        </a:xfrm>
        <a:prstGeom prst="line">
          <a:avLst/>
        </a:prstGeom>
        <a:noFill/>
        <a:ln w="9525">
          <a:solidFill>
            <a:srgbClr val="000000"/>
          </a:solidFill>
          <a:round/>
          <a:headEnd/>
          <a:tailEnd/>
        </a:ln>
      </xdr:spPr>
    </xdr:sp>
    <xdr:clientData/>
  </xdr:twoCellAnchor>
  <xdr:twoCellAnchor>
    <xdr:from>
      <xdr:col>4</xdr:col>
      <xdr:colOff>428625</xdr:colOff>
      <xdr:row>5</xdr:row>
      <xdr:rowOff>152400</xdr:rowOff>
    </xdr:from>
    <xdr:to>
      <xdr:col>4</xdr:col>
      <xdr:colOff>428625</xdr:colOff>
      <xdr:row>6</xdr:row>
      <xdr:rowOff>104775</xdr:rowOff>
    </xdr:to>
    <xdr:sp macro="" textlink="">
      <xdr:nvSpPr>
        <xdr:cNvPr id="68" name="Line 71"/>
        <xdr:cNvSpPr>
          <a:spLocks noChangeShapeType="1"/>
        </xdr:cNvSpPr>
      </xdr:nvSpPr>
      <xdr:spPr bwMode="auto">
        <a:xfrm>
          <a:off x="2667000" y="962025"/>
          <a:ext cx="0" cy="114300"/>
        </a:xfrm>
        <a:prstGeom prst="line">
          <a:avLst/>
        </a:prstGeom>
        <a:noFill/>
        <a:ln w="9525">
          <a:solidFill>
            <a:srgbClr val="000000"/>
          </a:solidFill>
          <a:round/>
          <a:headEnd/>
          <a:tailEnd/>
        </a:ln>
      </xdr:spPr>
    </xdr:sp>
    <xdr:clientData/>
  </xdr:twoCellAnchor>
  <xdr:twoCellAnchor>
    <xdr:from>
      <xdr:col>1</xdr:col>
      <xdr:colOff>238125</xdr:colOff>
      <xdr:row>8</xdr:row>
      <xdr:rowOff>9525</xdr:rowOff>
    </xdr:from>
    <xdr:to>
      <xdr:col>1</xdr:col>
      <xdr:colOff>238125</xdr:colOff>
      <xdr:row>8</xdr:row>
      <xdr:rowOff>114300</xdr:rowOff>
    </xdr:to>
    <xdr:sp macro="" textlink="">
      <xdr:nvSpPr>
        <xdr:cNvPr id="69" name="Line 72"/>
        <xdr:cNvSpPr>
          <a:spLocks noChangeShapeType="1"/>
        </xdr:cNvSpPr>
      </xdr:nvSpPr>
      <xdr:spPr bwMode="auto">
        <a:xfrm>
          <a:off x="657225" y="1304925"/>
          <a:ext cx="0" cy="104775"/>
        </a:xfrm>
        <a:prstGeom prst="line">
          <a:avLst/>
        </a:prstGeom>
        <a:noFill/>
        <a:ln w="9525">
          <a:solidFill>
            <a:srgbClr val="000000"/>
          </a:solidFill>
          <a:round/>
          <a:headEnd/>
          <a:tailEnd/>
        </a:ln>
      </xdr:spPr>
    </xdr:sp>
    <xdr:clientData/>
  </xdr:twoCellAnchor>
  <xdr:twoCellAnchor>
    <xdr:from>
      <xdr:col>4</xdr:col>
      <xdr:colOff>504825</xdr:colOff>
      <xdr:row>5</xdr:row>
      <xdr:rowOff>76200</xdr:rowOff>
    </xdr:from>
    <xdr:to>
      <xdr:col>5</xdr:col>
      <xdr:colOff>161925</xdr:colOff>
      <xdr:row>5</xdr:row>
      <xdr:rowOff>76200</xdr:rowOff>
    </xdr:to>
    <xdr:sp macro="" textlink="">
      <xdr:nvSpPr>
        <xdr:cNvPr id="70" name="Line 74"/>
        <xdr:cNvSpPr>
          <a:spLocks noChangeShapeType="1"/>
        </xdr:cNvSpPr>
      </xdr:nvSpPr>
      <xdr:spPr bwMode="auto">
        <a:xfrm>
          <a:off x="2743200" y="885825"/>
          <a:ext cx="381000" cy="0"/>
        </a:xfrm>
        <a:prstGeom prst="line">
          <a:avLst/>
        </a:prstGeom>
        <a:noFill/>
        <a:ln w="9525">
          <a:solidFill>
            <a:srgbClr val="000000"/>
          </a:solidFill>
          <a:round/>
          <a:headEnd/>
          <a:tailEnd/>
        </a:ln>
      </xdr:spPr>
    </xdr:sp>
    <xdr:clientData/>
  </xdr:twoCellAnchor>
  <xdr:twoCellAnchor>
    <xdr:from>
      <xdr:col>5</xdr:col>
      <xdr:colOff>447675</xdr:colOff>
      <xdr:row>5</xdr:row>
      <xdr:rowOff>85725</xdr:rowOff>
    </xdr:from>
    <xdr:to>
      <xdr:col>6</xdr:col>
      <xdr:colOff>361950</xdr:colOff>
      <xdr:row>5</xdr:row>
      <xdr:rowOff>85725</xdr:rowOff>
    </xdr:to>
    <xdr:sp macro="" textlink="">
      <xdr:nvSpPr>
        <xdr:cNvPr id="71" name="Line 75"/>
        <xdr:cNvSpPr>
          <a:spLocks noChangeShapeType="1"/>
        </xdr:cNvSpPr>
      </xdr:nvSpPr>
      <xdr:spPr bwMode="auto">
        <a:xfrm>
          <a:off x="3409950" y="895350"/>
          <a:ext cx="523875" cy="0"/>
        </a:xfrm>
        <a:prstGeom prst="line">
          <a:avLst/>
        </a:prstGeom>
        <a:noFill/>
        <a:ln w="9525">
          <a:solidFill>
            <a:srgbClr val="000000"/>
          </a:solidFill>
          <a:round/>
          <a:headEnd/>
          <a:tailEnd/>
        </a:ln>
      </xdr:spPr>
    </xdr:sp>
    <xdr:clientData/>
  </xdr:twoCellAnchor>
  <xdr:twoCellAnchor>
    <xdr:from>
      <xdr:col>6</xdr:col>
      <xdr:colOff>361950</xdr:colOff>
      <xdr:row>5</xdr:row>
      <xdr:rowOff>57150</xdr:rowOff>
    </xdr:from>
    <xdr:to>
      <xdr:col>6</xdr:col>
      <xdr:colOff>361950</xdr:colOff>
      <xdr:row>5</xdr:row>
      <xdr:rowOff>133350</xdr:rowOff>
    </xdr:to>
    <xdr:sp macro="" textlink="">
      <xdr:nvSpPr>
        <xdr:cNvPr id="72" name="Line 76"/>
        <xdr:cNvSpPr>
          <a:spLocks noChangeShapeType="1"/>
        </xdr:cNvSpPr>
      </xdr:nvSpPr>
      <xdr:spPr bwMode="auto">
        <a:xfrm>
          <a:off x="3933825" y="866775"/>
          <a:ext cx="0" cy="76200"/>
        </a:xfrm>
        <a:prstGeom prst="line">
          <a:avLst/>
        </a:prstGeom>
        <a:noFill/>
        <a:ln w="9525">
          <a:solidFill>
            <a:srgbClr val="000000"/>
          </a:solidFill>
          <a:round/>
          <a:headEnd/>
          <a:tailEnd/>
        </a:ln>
      </xdr:spPr>
    </xdr:sp>
    <xdr:clientData/>
  </xdr:twoCellAnchor>
  <xdr:twoCellAnchor>
    <xdr:from>
      <xdr:col>4</xdr:col>
      <xdr:colOff>504825</xdr:colOff>
      <xdr:row>4</xdr:row>
      <xdr:rowOff>152400</xdr:rowOff>
    </xdr:from>
    <xdr:to>
      <xdr:col>4</xdr:col>
      <xdr:colOff>504825</xdr:colOff>
      <xdr:row>5</xdr:row>
      <xdr:rowOff>142875</xdr:rowOff>
    </xdr:to>
    <xdr:sp macro="" textlink="">
      <xdr:nvSpPr>
        <xdr:cNvPr id="73" name="Line 78"/>
        <xdr:cNvSpPr>
          <a:spLocks noChangeShapeType="1"/>
        </xdr:cNvSpPr>
      </xdr:nvSpPr>
      <xdr:spPr bwMode="auto">
        <a:xfrm>
          <a:off x="2743200" y="800100"/>
          <a:ext cx="0" cy="152400"/>
        </a:xfrm>
        <a:prstGeom prst="line">
          <a:avLst/>
        </a:prstGeom>
        <a:noFill/>
        <a:ln w="9525">
          <a:solidFill>
            <a:srgbClr val="000000"/>
          </a:solidFill>
          <a:round/>
          <a:headEnd/>
          <a:tailEnd/>
        </a:ln>
      </xdr:spPr>
    </xdr:sp>
    <xdr:clientData/>
  </xdr:twoCellAnchor>
  <xdr:twoCellAnchor>
    <xdr:from>
      <xdr:col>4</xdr:col>
      <xdr:colOff>361950</xdr:colOff>
      <xdr:row>19</xdr:row>
      <xdr:rowOff>76200</xdr:rowOff>
    </xdr:from>
    <xdr:to>
      <xdr:col>5</xdr:col>
      <xdr:colOff>133350</xdr:colOff>
      <xdr:row>20</xdr:row>
      <xdr:rowOff>19050</xdr:rowOff>
    </xdr:to>
    <xdr:sp macro="" textlink="">
      <xdr:nvSpPr>
        <xdr:cNvPr id="74" name="Line 79"/>
        <xdr:cNvSpPr>
          <a:spLocks noChangeShapeType="1"/>
        </xdr:cNvSpPr>
      </xdr:nvSpPr>
      <xdr:spPr bwMode="auto">
        <a:xfrm flipV="1">
          <a:off x="2600325" y="3152775"/>
          <a:ext cx="495300" cy="104775"/>
        </a:xfrm>
        <a:prstGeom prst="line">
          <a:avLst/>
        </a:prstGeom>
        <a:noFill/>
        <a:ln w="9525">
          <a:solidFill>
            <a:srgbClr val="000000"/>
          </a:solidFill>
          <a:round/>
          <a:headEnd/>
          <a:tailEnd/>
        </a:ln>
      </xdr:spPr>
    </xdr:sp>
    <xdr:clientData/>
  </xdr:twoCellAnchor>
  <xdr:twoCellAnchor>
    <xdr:from>
      <xdr:col>1</xdr:col>
      <xdr:colOff>9525</xdr:colOff>
      <xdr:row>9</xdr:row>
      <xdr:rowOff>0</xdr:rowOff>
    </xdr:from>
    <xdr:to>
      <xdr:col>1</xdr:col>
      <xdr:colOff>95250</xdr:colOff>
      <xdr:row>9</xdr:row>
      <xdr:rowOff>0</xdr:rowOff>
    </xdr:to>
    <xdr:sp macro="" textlink="">
      <xdr:nvSpPr>
        <xdr:cNvPr id="75" name="Line 80"/>
        <xdr:cNvSpPr>
          <a:spLocks noChangeShapeType="1"/>
        </xdr:cNvSpPr>
      </xdr:nvSpPr>
      <xdr:spPr bwMode="auto">
        <a:xfrm flipH="1">
          <a:off x="428625" y="1457325"/>
          <a:ext cx="85725" cy="0"/>
        </a:xfrm>
        <a:prstGeom prst="line">
          <a:avLst/>
        </a:prstGeom>
        <a:noFill/>
        <a:ln w="9525">
          <a:solidFill>
            <a:srgbClr val="000000"/>
          </a:solidFill>
          <a:round/>
          <a:headEnd/>
          <a:tailEnd/>
        </a:ln>
      </xdr:spPr>
    </xdr:sp>
    <xdr:clientData/>
  </xdr:twoCellAnchor>
  <xdr:twoCellAnchor>
    <xdr:from>
      <xdr:col>1</xdr:col>
      <xdr:colOff>28575</xdr:colOff>
      <xdr:row>8</xdr:row>
      <xdr:rowOff>152400</xdr:rowOff>
    </xdr:from>
    <xdr:to>
      <xdr:col>1</xdr:col>
      <xdr:colOff>28575</xdr:colOff>
      <xdr:row>20</xdr:row>
      <xdr:rowOff>9525</xdr:rowOff>
    </xdr:to>
    <xdr:sp macro="" textlink="">
      <xdr:nvSpPr>
        <xdr:cNvPr id="76" name="Line 81"/>
        <xdr:cNvSpPr>
          <a:spLocks noChangeShapeType="1"/>
        </xdr:cNvSpPr>
      </xdr:nvSpPr>
      <xdr:spPr bwMode="auto">
        <a:xfrm>
          <a:off x="447675" y="1447800"/>
          <a:ext cx="0" cy="1800225"/>
        </a:xfrm>
        <a:prstGeom prst="line">
          <a:avLst/>
        </a:prstGeom>
        <a:noFill/>
        <a:ln w="9525">
          <a:solidFill>
            <a:srgbClr val="000000"/>
          </a:solidFill>
          <a:round/>
          <a:headEnd/>
          <a:tailEnd/>
        </a:ln>
      </xdr:spPr>
    </xdr:sp>
    <xdr:clientData/>
  </xdr:twoCellAnchor>
  <xdr:twoCellAnchor>
    <xdr:from>
      <xdr:col>0</xdr:col>
      <xdr:colOff>561975</xdr:colOff>
      <xdr:row>19</xdr:row>
      <xdr:rowOff>104775</xdr:rowOff>
    </xdr:from>
    <xdr:to>
      <xdr:col>1</xdr:col>
      <xdr:colOff>123825</xdr:colOff>
      <xdr:row>20</xdr:row>
      <xdr:rowOff>38100</xdr:rowOff>
    </xdr:to>
    <xdr:sp macro="" textlink="">
      <xdr:nvSpPr>
        <xdr:cNvPr id="77" name="Line 82"/>
        <xdr:cNvSpPr>
          <a:spLocks noChangeShapeType="1"/>
        </xdr:cNvSpPr>
      </xdr:nvSpPr>
      <xdr:spPr bwMode="auto">
        <a:xfrm flipV="1">
          <a:off x="419100" y="3181350"/>
          <a:ext cx="123825" cy="95250"/>
        </a:xfrm>
        <a:prstGeom prst="line">
          <a:avLst/>
        </a:prstGeom>
        <a:noFill/>
        <a:ln w="9525">
          <a:solidFill>
            <a:srgbClr val="000000"/>
          </a:solidFill>
          <a:round/>
          <a:headEnd/>
          <a:tailEnd/>
        </a:ln>
      </xdr:spPr>
    </xdr:sp>
    <xdr:clientData/>
  </xdr:twoCellAnchor>
  <xdr:twoCellAnchor>
    <xdr:from>
      <xdr:col>0</xdr:col>
      <xdr:colOff>552450</xdr:colOff>
      <xdr:row>8</xdr:row>
      <xdr:rowOff>114300</xdr:rowOff>
    </xdr:from>
    <xdr:to>
      <xdr:col>1</xdr:col>
      <xdr:colOff>85725</xdr:colOff>
      <xdr:row>9</xdr:row>
      <xdr:rowOff>47625</xdr:rowOff>
    </xdr:to>
    <xdr:sp macro="" textlink="">
      <xdr:nvSpPr>
        <xdr:cNvPr id="78" name="Line 83"/>
        <xdr:cNvSpPr>
          <a:spLocks noChangeShapeType="1"/>
        </xdr:cNvSpPr>
      </xdr:nvSpPr>
      <xdr:spPr bwMode="auto">
        <a:xfrm flipV="1">
          <a:off x="419100" y="1409700"/>
          <a:ext cx="85725" cy="95250"/>
        </a:xfrm>
        <a:prstGeom prst="line">
          <a:avLst/>
        </a:prstGeom>
        <a:noFill/>
        <a:ln w="9525">
          <a:solidFill>
            <a:srgbClr val="000000"/>
          </a:solidFill>
          <a:round/>
          <a:headEnd/>
          <a:tailEnd/>
        </a:ln>
      </xdr:spPr>
    </xdr:sp>
    <xdr:clientData/>
  </xdr:twoCellAnchor>
  <xdr:twoCellAnchor>
    <xdr:from>
      <xdr:col>4</xdr:col>
      <xdr:colOff>552450</xdr:colOff>
      <xdr:row>1</xdr:row>
      <xdr:rowOff>38100</xdr:rowOff>
    </xdr:from>
    <xdr:to>
      <xdr:col>5</xdr:col>
      <xdr:colOff>47625</xdr:colOff>
      <xdr:row>1</xdr:row>
      <xdr:rowOff>142875</xdr:rowOff>
    </xdr:to>
    <xdr:sp macro="" textlink="">
      <xdr:nvSpPr>
        <xdr:cNvPr id="79" name="Line 84"/>
        <xdr:cNvSpPr>
          <a:spLocks noChangeShapeType="1"/>
        </xdr:cNvSpPr>
      </xdr:nvSpPr>
      <xdr:spPr bwMode="auto">
        <a:xfrm>
          <a:off x="2790825" y="200025"/>
          <a:ext cx="219075" cy="104775"/>
        </a:xfrm>
        <a:prstGeom prst="line">
          <a:avLst/>
        </a:prstGeom>
        <a:noFill/>
        <a:ln w="9525">
          <a:solidFill>
            <a:srgbClr val="000000"/>
          </a:solidFill>
          <a:round/>
          <a:headEnd/>
          <a:tailEnd/>
        </a:ln>
      </xdr:spPr>
    </xdr:sp>
    <xdr:clientData/>
  </xdr:twoCellAnchor>
  <xdr:twoCellAnchor>
    <xdr:from>
      <xdr:col>4</xdr:col>
      <xdr:colOff>561975</xdr:colOff>
      <xdr:row>1</xdr:row>
      <xdr:rowOff>19050</xdr:rowOff>
    </xdr:from>
    <xdr:to>
      <xdr:col>5</xdr:col>
      <xdr:colOff>66675</xdr:colOff>
      <xdr:row>2</xdr:row>
      <xdr:rowOff>0</xdr:rowOff>
    </xdr:to>
    <xdr:sp macro="" textlink="">
      <xdr:nvSpPr>
        <xdr:cNvPr id="80" name="Line 85"/>
        <xdr:cNvSpPr>
          <a:spLocks noChangeShapeType="1"/>
        </xdr:cNvSpPr>
      </xdr:nvSpPr>
      <xdr:spPr bwMode="auto">
        <a:xfrm flipV="1">
          <a:off x="2800350" y="180975"/>
          <a:ext cx="228600" cy="142875"/>
        </a:xfrm>
        <a:prstGeom prst="line">
          <a:avLst/>
        </a:prstGeom>
        <a:noFill/>
        <a:ln w="9525">
          <a:solidFill>
            <a:srgbClr val="000000"/>
          </a:solidFill>
          <a:round/>
          <a:headEnd/>
          <a:tailEnd/>
        </a:ln>
      </xdr:spPr>
    </xdr:sp>
    <xdr:clientData/>
  </xdr:twoCellAnchor>
  <xdr:twoCellAnchor>
    <xdr:from>
      <xdr:col>5</xdr:col>
      <xdr:colOff>28575</xdr:colOff>
      <xdr:row>1</xdr:row>
      <xdr:rowOff>123825</xdr:rowOff>
    </xdr:from>
    <xdr:to>
      <xdr:col>5</xdr:col>
      <xdr:colOff>76200</xdr:colOff>
      <xdr:row>2</xdr:row>
      <xdr:rowOff>0</xdr:rowOff>
    </xdr:to>
    <xdr:sp macro="" textlink="">
      <xdr:nvSpPr>
        <xdr:cNvPr id="81" name="Line 86"/>
        <xdr:cNvSpPr>
          <a:spLocks noChangeShapeType="1"/>
        </xdr:cNvSpPr>
      </xdr:nvSpPr>
      <xdr:spPr bwMode="auto">
        <a:xfrm>
          <a:off x="2990850" y="285750"/>
          <a:ext cx="47625" cy="38100"/>
        </a:xfrm>
        <a:prstGeom prst="line">
          <a:avLst/>
        </a:prstGeom>
        <a:noFill/>
        <a:ln w="9525">
          <a:solidFill>
            <a:srgbClr val="000000"/>
          </a:solidFill>
          <a:round/>
          <a:headEnd/>
          <a:tailEnd/>
        </a:ln>
      </xdr:spPr>
    </xdr:sp>
    <xdr:clientData/>
  </xdr:twoCellAnchor>
  <xdr:twoCellAnchor>
    <xdr:from>
      <xdr:col>50</xdr:col>
      <xdr:colOff>266700</xdr:colOff>
      <xdr:row>28</xdr:row>
      <xdr:rowOff>0</xdr:rowOff>
    </xdr:from>
    <xdr:to>
      <xdr:col>50</xdr:col>
      <xdr:colOff>266700</xdr:colOff>
      <xdr:row>28</xdr:row>
      <xdr:rowOff>0</xdr:rowOff>
    </xdr:to>
    <xdr:sp macro="" textlink="">
      <xdr:nvSpPr>
        <xdr:cNvPr id="82" name="Line 87"/>
        <xdr:cNvSpPr>
          <a:spLocks noChangeShapeType="1"/>
        </xdr:cNvSpPr>
      </xdr:nvSpPr>
      <xdr:spPr bwMode="auto">
        <a:xfrm>
          <a:off x="30908625" y="4533900"/>
          <a:ext cx="0" cy="0"/>
        </a:xfrm>
        <a:prstGeom prst="line">
          <a:avLst/>
        </a:prstGeom>
        <a:noFill/>
        <a:ln w="9525">
          <a:solidFill>
            <a:srgbClr val="000000"/>
          </a:solidFill>
          <a:round/>
          <a:headEnd/>
          <a:tailEnd/>
        </a:ln>
      </xdr:spPr>
    </xdr:sp>
    <xdr:clientData/>
  </xdr:twoCellAnchor>
  <xdr:twoCellAnchor>
    <xdr:from>
      <xdr:col>25</xdr:col>
      <xdr:colOff>238125</xdr:colOff>
      <xdr:row>28</xdr:row>
      <xdr:rowOff>0</xdr:rowOff>
    </xdr:from>
    <xdr:to>
      <xdr:col>25</xdr:col>
      <xdr:colOff>247650</xdr:colOff>
      <xdr:row>28</xdr:row>
      <xdr:rowOff>0</xdr:rowOff>
    </xdr:to>
    <xdr:sp macro="" textlink="">
      <xdr:nvSpPr>
        <xdr:cNvPr id="83" name="Rectangle 88"/>
        <xdr:cNvSpPr>
          <a:spLocks noChangeArrowheads="1"/>
        </xdr:cNvSpPr>
      </xdr:nvSpPr>
      <xdr:spPr bwMode="auto">
        <a:xfrm>
          <a:off x="15640050" y="4533900"/>
          <a:ext cx="9525" cy="0"/>
        </a:xfrm>
        <a:prstGeom prst="rect">
          <a:avLst/>
        </a:prstGeom>
        <a:noFill/>
        <a:ln w="9525">
          <a:solidFill>
            <a:srgbClr val="000000"/>
          </a:solidFill>
          <a:miter lim="800000"/>
          <a:headEnd/>
          <a:tailEnd/>
        </a:ln>
      </xdr:spPr>
    </xdr:sp>
    <xdr:clientData/>
  </xdr:twoCellAnchor>
  <xdr:twoCellAnchor>
    <xdr:from>
      <xdr:col>45</xdr:col>
      <xdr:colOff>247650</xdr:colOff>
      <xdr:row>28</xdr:row>
      <xdr:rowOff>0</xdr:rowOff>
    </xdr:from>
    <xdr:to>
      <xdr:col>45</xdr:col>
      <xdr:colOff>247650</xdr:colOff>
      <xdr:row>28</xdr:row>
      <xdr:rowOff>0</xdr:rowOff>
    </xdr:to>
    <xdr:sp macro="" textlink="">
      <xdr:nvSpPr>
        <xdr:cNvPr id="84" name="Rectangle 89"/>
        <xdr:cNvSpPr>
          <a:spLocks noChangeArrowheads="1"/>
        </xdr:cNvSpPr>
      </xdr:nvSpPr>
      <xdr:spPr bwMode="auto">
        <a:xfrm>
          <a:off x="27841575" y="4533900"/>
          <a:ext cx="0" cy="0"/>
        </a:xfrm>
        <a:prstGeom prst="rect">
          <a:avLst/>
        </a:prstGeom>
        <a:noFill/>
        <a:ln w="9525">
          <a:solidFill>
            <a:srgbClr val="000000"/>
          </a:solidFill>
          <a:miter lim="800000"/>
          <a:headEnd/>
          <a:tailEnd/>
        </a:ln>
      </xdr:spPr>
    </xdr:sp>
    <xdr:clientData/>
  </xdr:twoCellAnchor>
  <xdr:twoCellAnchor>
    <xdr:from>
      <xdr:col>9</xdr:col>
      <xdr:colOff>76200</xdr:colOff>
      <xdr:row>28</xdr:row>
      <xdr:rowOff>0</xdr:rowOff>
    </xdr:from>
    <xdr:to>
      <xdr:col>9</xdr:col>
      <xdr:colOff>76200</xdr:colOff>
      <xdr:row>28</xdr:row>
      <xdr:rowOff>0</xdr:rowOff>
    </xdr:to>
    <xdr:sp macro="" textlink="">
      <xdr:nvSpPr>
        <xdr:cNvPr id="85" name="Line 90"/>
        <xdr:cNvSpPr>
          <a:spLocks noChangeShapeType="1"/>
        </xdr:cNvSpPr>
      </xdr:nvSpPr>
      <xdr:spPr bwMode="auto">
        <a:xfrm>
          <a:off x="5724525" y="4533900"/>
          <a:ext cx="0" cy="0"/>
        </a:xfrm>
        <a:prstGeom prst="line">
          <a:avLst/>
        </a:prstGeom>
        <a:noFill/>
        <a:ln w="9525">
          <a:solidFill>
            <a:srgbClr val="000000"/>
          </a:solidFill>
          <a:round/>
          <a:headEnd/>
          <a:tailEnd/>
        </a:ln>
      </xdr:spPr>
    </xdr:sp>
    <xdr:clientData/>
  </xdr:twoCellAnchor>
  <xdr:twoCellAnchor>
    <xdr:from>
      <xdr:col>2</xdr:col>
      <xdr:colOff>200025</xdr:colOff>
      <xdr:row>28</xdr:row>
      <xdr:rowOff>0</xdr:rowOff>
    </xdr:from>
    <xdr:to>
      <xdr:col>2</xdr:col>
      <xdr:colOff>209550</xdr:colOff>
      <xdr:row>28</xdr:row>
      <xdr:rowOff>0</xdr:rowOff>
    </xdr:to>
    <xdr:sp macro="" textlink="">
      <xdr:nvSpPr>
        <xdr:cNvPr id="86" name="Rectangle 91"/>
        <xdr:cNvSpPr>
          <a:spLocks noChangeArrowheads="1"/>
        </xdr:cNvSpPr>
      </xdr:nvSpPr>
      <xdr:spPr bwMode="auto">
        <a:xfrm>
          <a:off x="1228725" y="4533900"/>
          <a:ext cx="9525" cy="0"/>
        </a:xfrm>
        <a:prstGeom prst="rect">
          <a:avLst/>
        </a:prstGeom>
        <a:noFill/>
        <a:ln w="9525">
          <a:solidFill>
            <a:srgbClr val="000000"/>
          </a:solidFill>
          <a:miter lim="800000"/>
          <a:headEnd/>
          <a:tailEnd/>
        </a:ln>
      </xdr:spPr>
    </xdr:sp>
    <xdr:clientData/>
  </xdr:twoCellAnchor>
  <xdr:twoCellAnchor>
    <xdr:from>
      <xdr:col>2</xdr:col>
      <xdr:colOff>209550</xdr:colOff>
      <xdr:row>28</xdr:row>
      <xdr:rowOff>0</xdr:rowOff>
    </xdr:from>
    <xdr:to>
      <xdr:col>2</xdr:col>
      <xdr:colOff>209550</xdr:colOff>
      <xdr:row>28</xdr:row>
      <xdr:rowOff>0</xdr:rowOff>
    </xdr:to>
    <xdr:sp macro="" textlink="">
      <xdr:nvSpPr>
        <xdr:cNvPr id="87" name="Rectangle 92"/>
        <xdr:cNvSpPr>
          <a:spLocks noChangeArrowheads="1"/>
        </xdr:cNvSpPr>
      </xdr:nvSpPr>
      <xdr:spPr bwMode="auto">
        <a:xfrm>
          <a:off x="1238250" y="4533900"/>
          <a:ext cx="0" cy="0"/>
        </a:xfrm>
        <a:prstGeom prst="rect">
          <a:avLst/>
        </a:prstGeom>
        <a:noFill/>
        <a:ln w="9525">
          <a:solidFill>
            <a:srgbClr val="000000"/>
          </a:solidFill>
          <a:miter lim="800000"/>
          <a:headEnd/>
          <a:tailEnd/>
        </a:ln>
      </xdr:spPr>
    </xdr:sp>
    <xdr:clientData/>
  </xdr:twoCellAnchor>
  <xdr:twoCellAnchor>
    <xdr:from>
      <xdr:col>2</xdr:col>
      <xdr:colOff>161925</xdr:colOff>
      <xdr:row>28</xdr:row>
      <xdr:rowOff>0</xdr:rowOff>
    </xdr:from>
    <xdr:to>
      <xdr:col>2</xdr:col>
      <xdr:colOff>161925</xdr:colOff>
      <xdr:row>28</xdr:row>
      <xdr:rowOff>0</xdr:rowOff>
    </xdr:to>
    <xdr:sp macro="" textlink="">
      <xdr:nvSpPr>
        <xdr:cNvPr id="88" name="Line 93"/>
        <xdr:cNvSpPr>
          <a:spLocks noChangeShapeType="1"/>
        </xdr:cNvSpPr>
      </xdr:nvSpPr>
      <xdr:spPr bwMode="auto">
        <a:xfrm>
          <a:off x="1190625" y="4533900"/>
          <a:ext cx="0" cy="0"/>
        </a:xfrm>
        <a:prstGeom prst="line">
          <a:avLst/>
        </a:prstGeom>
        <a:noFill/>
        <a:ln w="9525">
          <a:solidFill>
            <a:srgbClr val="000000"/>
          </a:solidFill>
          <a:round/>
          <a:headEnd/>
          <a:tailEnd/>
        </a:ln>
      </xdr:spPr>
    </xdr:sp>
    <xdr:clientData/>
  </xdr:twoCellAnchor>
  <xdr:twoCellAnchor>
    <xdr:from>
      <xdr:col>3</xdr:col>
      <xdr:colOff>200025</xdr:colOff>
      <xdr:row>28</xdr:row>
      <xdr:rowOff>0</xdr:rowOff>
    </xdr:from>
    <xdr:to>
      <xdr:col>3</xdr:col>
      <xdr:colOff>209550</xdr:colOff>
      <xdr:row>28</xdr:row>
      <xdr:rowOff>0</xdr:rowOff>
    </xdr:to>
    <xdr:sp macro="" textlink="">
      <xdr:nvSpPr>
        <xdr:cNvPr id="89" name="Rectangle 94"/>
        <xdr:cNvSpPr>
          <a:spLocks noChangeArrowheads="1"/>
        </xdr:cNvSpPr>
      </xdr:nvSpPr>
      <xdr:spPr bwMode="auto">
        <a:xfrm>
          <a:off x="1828800" y="4533900"/>
          <a:ext cx="9525" cy="0"/>
        </a:xfrm>
        <a:prstGeom prst="rect">
          <a:avLst/>
        </a:prstGeom>
        <a:noFill/>
        <a:ln w="9525">
          <a:solidFill>
            <a:srgbClr val="000000"/>
          </a:solidFill>
          <a:miter lim="800000"/>
          <a:headEnd/>
          <a:tailEnd/>
        </a:ln>
      </xdr:spPr>
    </xdr:sp>
    <xdr:clientData/>
  </xdr:twoCellAnchor>
  <xdr:twoCellAnchor>
    <xdr:from>
      <xdr:col>3</xdr:col>
      <xdr:colOff>209550</xdr:colOff>
      <xdr:row>28</xdr:row>
      <xdr:rowOff>0</xdr:rowOff>
    </xdr:from>
    <xdr:to>
      <xdr:col>3</xdr:col>
      <xdr:colOff>209550</xdr:colOff>
      <xdr:row>28</xdr:row>
      <xdr:rowOff>0</xdr:rowOff>
    </xdr:to>
    <xdr:sp macro="" textlink="">
      <xdr:nvSpPr>
        <xdr:cNvPr id="90" name="Rectangle 95"/>
        <xdr:cNvSpPr>
          <a:spLocks noChangeArrowheads="1"/>
        </xdr:cNvSpPr>
      </xdr:nvSpPr>
      <xdr:spPr bwMode="auto">
        <a:xfrm>
          <a:off x="1838325" y="4533900"/>
          <a:ext cx="0" cy="0"/>
        </a:xfrm>
        <a:prstGeom prst="rect">
          <a:avLst/>
        </a:prstGeom>
        <a:noFill/>
        <a:ln w="9525">
          <a:solidFill>
            <a:srgbClr val="000000"/>
          </a:solidFill>
          <a:miter lim="800000"/>
          <a:headEnd/>
          <a:tailEnd/>
        </a:ln>
      </xdr:spPr>
    </xdr:sp>
    <xdr:clientData/>
  </xdr:twoCellAnchor>
  <xdr:twoCellAnchor>
    <xdr:from>
      <xdr:col>3</xdr:col>
      <xdr:colOff>161925</xdr:colOff>
      <xdr:row>28</xdr:row>
      <xdr:rowOff>0</xdr:rowOff>
    </xdr:from>
    <xdr:to>
      <xdr:col>3</xdr:col>
      <xdr:colOff>161925</xdr:colOff>
      <xdr:row>28</xdr:row>
      <xdr:rowOff>0</xdr:rowOff>
    </xdr:to>
    <xdr:sp macro="" textlink="">
      <xdr:nvSpPr>
        <xdr:cNvPr id="91" name="Line 96"/>
        <xdr:cNvSpPr>
          <a:spLocks noChangeShapeType="1"/>
        </xdr:cNvSpPr>
      </xdr:nvSpPr>
      <xdr:spPr bwMode="auto">
        <a:xfrm>
          <a:off x="1790700" y="4533900"/>
          <a:ext cx="0" cy="0"/>
        </a:xfrm>
        <a:prstGeom prst="line">
          <a:avLst/>
        </a:prstGeom>
        <a:noFill/>
        <a:ln w="9525">
          <a:solidFill>
            <a:srgbClr val="000000"/>
          </a:solidFill>
          <a:round/>
          <a:headEnd/>
          <a:tailEnd/>
        </a:ln>
      </xdr:spPr>
    </xdr:sp>
    <xdr:clientData/>
  </xdr:twoCellAnchor>
  <xdr:twoCellAnchor>
    <xdr:from>
      <xdr:col>4</xdr:col>
      <xdr:colOff>200025</xdr:colOff>
      <xdr:row>28</xdr:row>
      <xdr:rowOff>0</xdr:rowOff>
    </xdr:from>
    <xdr:to>
      <xdr:col>4</xdr:col>
      <xdr:colOff>209550</xdr:colOff>
      <xdr:row>28</xdr:row>
      <xdr:rowOff>0</xdr:rowOff>
    </xdr:to>
    <xdr:sp macro="" textlink="">
      <xdr:nvSpPr>
        <xdr:cNvPr id="92" name="Rectangle 97"/>
        <xdr:cNvSpPr>
          <a:spLocks noChangeArrowheads="1"/>
        </xdr:cNvSpPr>
      </xdr:nvSpPr>
      <xdr:spPr bwMode="auto">
        <a:xfrm>
          <a:off x="2438400" y="4533900"/>
          <a:ext cx="9525" cy="0"/>
        </a:xfrm>
        <a:prstGeom prst="rect">
          <a:avLst/>
        </a:prstGeom>
        <a:noFill/>
        <a:ln w="9525">
          <a:solidFill>
            <a:srgbClr val="000000"/>
          </a:solidFill>
          <a:miter lim="800000"/>
          <a:headEnd/>
          <a:tailEnd/>
        </a:ln>
      </xdr:spPr>
    </xdr:sp>
    <xdr:clientData/>
  </xdr:twoCellAnchor>
  <xdr:twoCellAnchor>
    <xdr:from>
      <xdr:col>4</xdr:col>
      <xdr:colOff>209550</xdr:colOff>
      <xdr:row>28</xdr:row>
      <xdr:rowOff>0</xdr:rowOff>
    </xdr:from>
    <xdr:to>
      <xdr:col>4</xdr:col>
      <xdr:colOff>209550</xdr:colOff>
      <xdr:row>28</xdr:row>
      <xdr:rowOff>0</xdr:rowOff>
    </xdr:to>
    <xdr:sp macro="" textlink="">
      <xdr:nvSpPr>
        <xdr:cNvPr id="93" name="Rectangle 98"/>
        <xdr:cNvSpPr>
          <a:spLocks noChangeArrowheads="1"/>
        </xdr:cNvSpPr>
      </xdr:nvSpPr>
      <xdr:spPr bwMode="auto">
        <a:xfrm>
          <a:off x="2447925" y="4533900"/>
          <a:ext cx="0" cy="0"/>
        </a:xfrm>
        <a:prstGeom prst="rect">
          <a:avLst/>
        </a:prstGeom>
        <a:noFill/>
        <a:ln w="9525">
          <a:solidFill>
            <a:srgbClr val="000000"/>
          </a:solidFill>
          <a:miter lim="800000"/>
          <a:headEnd/>
          <a:tailEnd/>
        </a:ln>
      </xdr:spPr>
    </xdr:sp>
    <xdr:clientData/>
  </xdr:twoCellAnchor>
  <xdr:twoCellAnchor>
    <xdr:from>
      <xdr:col>4</xdr:col>
      <xdr:colOff>161925</xdr:colOff>
      <xdr:row>28</xdr:row>
      <xdr:rowOff>0</xdr:rowOff>
    </xdr:from>
    <xdr:to>
      <xdr:col>4</xdr:col>
      <xdr:colOff>161925</xdr:colOff>
      <xdr:row>28</xdr:row>
      <xdr:rowOff>0</xdr:rowOff>
    </xdr:to>
    <xdr:sp macro="" textlink="">
      <xdr:nvSpPr>
        <xdr:cNvPr id="94" name="Line 99"/>
        <xdr:cNvSpPr>
          <a:spLocks noChangeShapeType="1"/>
        </xdr:cNvSpPr>
      </xdr:nvSpPr>
      <xdr:spPr bwMode="auto">
        <a:xfrm>
          <a:off x="2400300" y="4533900"/>
          <a:ext cx="0" cy="0"/>
        </a:xfrm>
        <a:prstGeom prst="line">
          <a:avLst/>
        </a:prstGeom>
        <a:noFill/>
        <a:ln w="9525">
          <a:solidFill>
            <a:srgbClr val="000000"/>
          </a:solidFill>
          <a:round/>
          <a:headEnd/>
          <a:tailEnd/>
        </a:ln>
      </xdr:spPr>
    </xdr:sp>
    <xdr:clientData/>
  </xdr:twoCellAnchor>
  <xdr:twoCellAnchor>
    <xdr:from>
      <xdr:col>5</xdr:col>
      <xdr:colOff>200025</xdr:colOff>
      <xdr:row>28</xdr:row>
      <xdr:rowOff>0</xdr:rowOff>
    </xdr:from>
    <xdr:to>
      <xdr:col>5</xdr:col>
      <xdr:colOff>209550</xdr:colOff>
      <xdr:row>28</xdr:row>
      <xdr:rowOff>0</xdr:rowOff>
    </xdr:to>
    <xdr:sp macro="" textlink="">
      <xdr:nvSpPr>
        <xdr:cNvPr id="95" name="Rectangle 100"/>
        <xdr:cNvSpPr>
          <a:spLocks noChangeArrowheads="1"/>
        </xdr:cNvSpPr>
      </xdr:nvSpPr>
      <xdr:spPr bwMode="auto">
        <a:xfrm>
          <a:off x="3162300" y="4533900"/>
          <a:ext cx="9525" cy="0"/>
        </a:xfrm>
        <a:prstGeom prst="rect">
          <a:avLst/>
        </a:prstGeom>
        <a:noFill/>
        <a:ln w="9525">
          <a:solidFill>
            <a:srgbClr val="000000"/>
          </a:solidFill>
          <a:miter lim="800000"/>
          <a:headEnd/>
          <a:tailEnd/>
        </a:ln>
      </xdr:spPr>
    </xdr:sp>
    <xdr:clientData/>
  </xdr:twoCellAnchor>
  <xdr:twoCellAnchor>
    <xdr:from>
      <xdr:col>5</xdr:col>
      <xdr:colOff>209550</xdr:colOff>
      <xdr:row>28</xdr:row>
      <xdr:rowOff>0</xdr:rowOff>
    </xdr:from>
    <xdr:to>
      <xdr:col>5</xdr:col>
      <xdr:colOff>209550</xdr:colOff>
      <xdr:row>28</xdr:row>
      <xdr:rowOff>0</xdr:rowOff>
    </xdr:to>
    <xdr:sp macro="" textlink="">
      <xdr:nvSpPr>
        <xdr:cNvPr id="96" name="Rectangle 101"/>
        <xdr:cNvSpPr>
          <a:spLocks noChangeArrowheads="1"/>
        </xdr:cNvSpPr>
      </xdr:nvSpPr>
      <xdr:spPr bwMode="auto">
        <a:xfrm>
          <a:off x="3171825" y="4533900"/>
          <a:ext cx="0" cy="0"/>
        </a:xfrm>
        <a:prstGeom prst="rect">
          <a:avLst/>
        </a:prstGeom>
        <a:noFill/>
        <a:ln w="9525">
          <a:solidFill>
            <a:srgbClr val="000000"/>
          </a:solidFill>
          <a:miter lim="800000"/>
          <a:headEnd/>
          <a:tailEnd/>
        </a:ln>
      </xdr:spPr>
    </xdr:sp>
    <xdr:clientData/>
  </xdr:twoCellAnchor>
  <xdr:twoCellAnchor>
    <xdr:from>
      <xdr:col>5</xdr:col>
      <xdr:colOff>161925</xdr:colOff>
      <xdr:row>28</xdr:row>
      <xdr:rowOff>0</xdr:rowOff>
    </xdr:from>
    <xdr:to>
      <xdr:col>5</xdr:col>
      <xdr:colOff>161925</xdr:colOff>
      <xdr:row>28</xdr:row>
      <xdr:rowOff>0</xdr:rowOff>
    </xdr:to>
    <xdr:sp macro="" textlink="">
      <xdr:nvSpPr>
        <xdr:cNvPr id="97" name="Line 102"/>
        <xdr:cNvSpPr>
          <a:spLocks noChangeShapeType="1"/>
        </xdr:cNvSpPr>
      </xdr:nvSpPr>
      <xdr:spPr bwMode="auto">
        <a:xfrm>
          <a:off x="3124200" y="4533900"/>
          <a:ext cx="0" cy="0"/>
        </a:xfrm>
        <a:prstGeom prst="line">
          <a:avLst/>
        </a:prstGeom>
        <a:noFill/>
        <a:ln w="9525">
          <a:solidFill>
            <a:srgbClr val="000000"/>
          </a:solidFill>
          <a:round/>
          <a:headEnd/>
          <a:tailEnd/>
        </a:ln>
      </xdr:spPr>
    </xdr:sp>
    <xdr:clientData/>
  </xdr:twoCellAnchor>
  <xdr:twoCellAnchor>
    <xdr:from>
      <xdr:col>6</xdr:col>
      <xdr:colOff>200025</xdr:colOff>
      <xdr:row>28</xdr:row>
      <xdr:rowOff>0</xdr:rowOff>
    </xdr:from>
    <xdr:to>
      <xdr:col>6</xdr:col>
      <xdr:colOff>209550</xdr:colOff>
      <xdr:row>28</xdr:row>
      <xdr:rowOff>0</xdr:rowOff>
    </xdr:to>
    <xdr:sp macro="" textlink="">
      <xdr:nvSpPr>
        <xdr:cNvPr id="98" name="Rectangle 103"/>
        <xdr:cNvSpPr>
          <a:spLocks noChangeArrowheads="1"/>
        </xdr:cNvSpPr>
      </xdr:nvSpPr>
      <xdr:spPr bwMode="auto">
        <a:xfrm>
          <a:off x="3771900" y="4533900"/>
          <a:ext cx="9525" cy="0"/>
        </a:xfrm>
        <a:prstGeom prst="rect">
          <a:avLst/>
        </a:prstGeom>
        <a:noFill/>
        <a:ln w="9525">
          <a:solidFill>
            <a:srgbClr val="000000"/>
          </a:solidFill>
          <a:miter lim="800000"/>
          <a:headEnd/>
          <a:tailEnd/>
        </a:ln>
      </xdr:spPr>
    </xdr:sp>
    <xdr:clientData/>
  </xdr:twoCellAnchor>
  <xdr:twoCellAnchor>
    <xdr:from>
      <xdr:col>6</xdr:col>
      <xdr:colOff>209550</xdr:colOff>
      <xdr:row>28</xdr:row>
      <xdr:rowOff>0</xdr:rowOff>
    </xdr:from>
    <xdr:to>
      <xdr:col>6</xdr:col>
      <xdr:colOff>209550</xdr:colOff>
      <xdr:row>28</xdr:row>
      <xdr:rowOff>0</xdr:rowOff>
    </xdr:to>
    <xdr:sp macro="" textlink="">
      <xdr:nvSpPr>
        <xdr:cNvPr id="99" name="Rectangle 104"/>
        <xdr:cNvSpPr>
          <a:spLocks noChangeArrowheads="1"/>
        </xdr:cNvSpPr>
      </xdr:nvSpPr>
      <xdr:spPr bwMode="auto">
        <a:xfrm>
          <a:off x="3781425" y="4533900"/>
          <a:ext cx="0" cy="0"/>
        </a:xfrm>
        <a:prstGeom prst="rect">
          <a:avLst/>
        </a:prstGeom>
        <a:noFill/>
        <a:ln w="9525">
          <a:solidFill>
            <a:srgbClr val="000000"/>
          </a:solidFill>
          <a:miter lim="800000"/>
          <a:headEnd/>
          <a:tailEnd/>
        </a:ln>
      </xdr:spPr>
    </xdr:sp>
    <xdr:clientData/>
  </xdr:twoCellAnchor>
  <xdr:twoCellAnchor>
    <xdr:from>
      <xdr:col>6</xdr:col>
      <xdr:colOff>161925</xdr:colOff>
      <xdr:row>28</xdr:row>
      <xdr:rowOff>0</xdr:rowOff>
    </xdr:from>
    <xdr:to>
      <xdr:col>6</xdr:col>
      <xdr:colOff>161925</xdr:colOff>
      <xdr:row>28</xdr:row>
      <xdr:rowOff>0</xdr:rowOff>
    </xdr:to>
    <xdr:sp macro="" textlink="">
      <xdr:nvSpPr>
        <xdr:cNvPr id="100" name="Line 105"/>
        <xdr:cNvSpPr>
          <a:spLocks noChangeShapeType="1"/>
        </xdr:cNvSpPr>
      </xdr:nvSpPr>
      <xdr:spPr bwMode="auto">
        <a:xfrm>
          <a:off x="3733800" y="4533900"/>
          <a:ext cx="0" cy="0"/>
        </a:xfrm>
        <a:prstGeom prst="line">
          <a:avLst/>
        </a:prstGeom>
        <a:noFill/>
        <a:ln w="9525">
          <a:solidFill>
            <a:srgbClr val="000000"/>
          </a:solidFill>
          <a:round/>
          <a:headEnd/>
          <a:tailEnd/>
        </a:ln>
      </xdr:spPr>
    </xdr:sp>
    <xdr:clientData/>
  </xdr:twoCellAnchor>
  <xdr:twoCellAnchor>
    <xdr:from>
      <xdr:col>3</xdr:col>
      <xdr:colOff>552450</xdr:colOff>
      <xdr:row>22</xdr:row>
      <xdr:rowOff>38100</xdr:rowOff>
    </xdr:from>
    <xdr:to>
      <xdr:col>4</xdr:col>
      <xdr:colOff>47625</xdr:colOff>
      <xdr:row>22</xdr:row>
      <xdr:rowOff>142875</xdr:rowOff>
    </xdr:to>
    <xdr:sp macro="" textlink="">
      <xdr:nvSpPr>
        <xdr:cNvPr id="101" name="Line 106"/>
        <xdr:cNvSpPr>
          <a:spLocks noChangeShapeType="1"/>
        </xdr:cNvSpPr>
      </xdr:nvSpPr>
      <xdr:spPr bwMode="auto">
        <a:xfrm>
          <a:off x="2181225" y="3600450"/>
          <a:ext cx="104775" cy="104775"/>
        </a:xfrm>
        <a:prstGeom prst="line">
          <a:avLst/>
        </a:prstGeom>
        <a:noFill/>
        <a:ln w="9525">
          <a:solidFill>
            <a:srgbClr val="000000"/>
          </a:solidFill>
          <a:round/>
          <a:headEnd/>
          <a:tailEnd/>
        </a:ln>
      </xdr:spPr>
    </xdr:sp>
    <xdr:clientData/>
  </xdr:twoCellAnchor>
  <xdr:twoCellAnchor>
    <xdr:from>
      <xdr:col>3</xdr:col>
      <xdr:colOff>561975</xdr:colOff>
      <xdr:row>22</xdr:row>
      <xdr:rowOff>19050</xdr:rowOff>
    </xdr:from>
    <xdr:to>
      <xdr:col>4</xdr:col>
      <xdr:colOff>66675</xdr:colOff>
      <xdr:row>23</xdr:row>
      <xdr:rowOff>0</xdr:rowOff>
    </xdr:to>
    <xdr:sp macro="" textlink="">
      <xdr:nvSpPr>
        <xdr:cNvPr id="102" name="Line 107"/>
        <xdr:cNvSpPr>
          <a:spLocks noChangeShapeType="1"/>
        </xdr:cNvSpPr>
      </xdr:nvSpPr>
      <xdr:spPr bwMode="auto">
        <a:xfrm flipV="1">
          <a:off x="2190750" y="3581400"/>
          <a:ext cx="114300" cy="142875"/>
        </a:xfrm>
        <a:prstGeom prst="line">
          <a:avLst/>
        </a:prstGeom>
        <a:noFill/>
        <a:ln w="9525">
          <a:solidFill>
            <a:srgbClr val="000000"/>
          </a:solidFill>
          <a:round/>
          <a:headEnd/>
          <a:tailEnd/>
        </a:ln>
      </xdr:spPr>
    </xdr:sp>
    <xdr:clientData/>
  </xdr:twoCellAnchor>
  <xdr:twoCellAnchor>
    <xdr:from>
      <xdr:col>4</xdr:col>
      <xdr:colOff>28575</xdr:colOff>
      <xdr:row>22</xdr:row>
      <xdr:rowOff>123825</xdr:rowOff>
    </xdr:from>
    <xdr:to>
      <xdr:col>4</xdr:col>
      <xdr:colOff>76200</xdr:colOff>
      <xdr:row>23</xdr:row>
      <xdr:rowOff>0</xdr:rowOff>
    </xdr:to>
    <xdr:sp macro="" textlink="">
      <xdr:nvSpPr>
        <xdr:cNvPr id="103" name="Line 108"/>
        <xdr:cNvSpPr>
          <a:spLocks noChangeShapeType="1"/>
        </xdr:cNvSpPr>
      </xdr:nvSpPr>
      <xdr:spPr bwMode="auto">
        <a:xfrm>
          <a:off x="2266950" y="3686175"/>
          <a:ext cx="47625" cy="38100"/>
        </a:xfrm>
        <a:prstGeom prst="line">
          <a:avLst/>
        </a:prstGeom>
        <a:noFill/>
        <a:ln w="9525">
          <a:solidFill>
            <a:srgbClr val="000000"/>
          </a:solidFill>
          <a:round/>
          <a:headEnd/>
          <a:tailEnd/>
        </a:ln>
      </xdr:spPr>
    </xdr:sp>
    <xdr:clientData/>
  </xdr:twoCellAnchor>
  <xdr:twoCellAnchor>
    <xdr:from>
      <xdr:col>5</xdr:col>
      <xdr:colOff>552450</xdr:colOff>
      <xdr:row>28</xdr:row>
      <xdr:rowOff>0</xdr:rowOff>
    </xdr:from>
    <xdr:to>
      <xdr:col>6</xdr:col>
      <xdr:colOff>47625</xdr:colOff>
      <xdr:row>28</xdr:row>
      <xdr:rowOff>0</xdr:rowOff>
    </xdr:to>
    <xdr:sp macro="" textlink="">
      <xdr:nvSpPr>
        <xdr:cNvPr id="104" name="Line 109"/>
        <xdr:cNvSpPr>
          <a:spLocks noChangeShapeType="1"/>
        </xdr:cNvSpPr>
      </xdr:nvSpPr>
      <xdr:spPr bwMode="auto">
        <a:xfrm>
          <a:off x="3514725" y="4533900"/>
          <a:ext cx="104775" cy="0"/>
        </a:xfrm>
        <a:prstGeom prst="line">
          <a:avLst/>
        </a:prstGeom>
        <a:noFill/>
        <a:ln w="9525">
          <a:solidFill>
            <a:srgbClr val="000000"/>
          </a:solidFill>
          <a:round/>
          <a:headEnd/>
          <a:tailEnd/>
        </a:ln>
      </xdr:spPr>
    </xdr:sp>
    <xdr:clientData/>
  </xdr:twoCellAnchor>
  <xdr:twoCellAnchor>
    <xdr:from>
      <xdr:col>5</xdr:col>
      <xdr:colOff>561975</xdr:colOff>
      <xdr:row>28</xdr:row>
      <xdr:rowOff>0</xdr:rowOff>
    </xdr:from>
    <xdr:to>
      <xdr:col>6</xdr:col>
      <xdr:colOff>66675</xdr:colOff>
      <xdr:row>28</xdr:row>
      <xdr:rowOff>0</xdr:rowOff>
    </xdr:to>
    <xdr:sp macro="" textlink="">
      <xdr:nvSpPr>
        <xdr:cNvPr id="105" name="Line 110"/>
        <xdr:cNvSpPr>
          <a:spLocks noChangeShapeType="1"/>
        </xdr:cNvSpPr>
      </xdr:nvSpPr>
      <xdr:spPr bwMode="auto">
        <a:xfrm flipV="1">
          <a:off x="3524250" y="4533900"/>
          <a:ext cx="114300" cy="0"/>
        </a:xfrm>
        <a:prstGeom prst="line">
          <a:avLst/>
        </a:prstGeom>
        <a:noFill/>
        <a:ln w="9525">
          <a:solidFill>
            <a:srgbClr val="000000"/>
          </a:solidFill>
          <a:round/>
          <a:headEnd/>
          <a:tailEnd/>
        </a:ln>
      </xdr:spPr>
    </xdr:sp>
    <xdr:clientData/>
  </xdr:twoCellAnchor>
  <xdr:twoCellAnchor>
    <xdr:from>
      <xdr:col>6</xdr:col>
      <xdr:colOff>28575</xdr:colOff>
      <xdr:row>28</xdr:row>
      <xdr:rowOff>0</xdr:rowOff>
    </xdr:from>
    <xdr:to>
      <xdr:col>6</xdr:col>
      <xdr:colOff>76200</xdr:colOff>
      <xdr:row>28</xdr:row>
      <xdr:rowOff>0</xdr:rowOff>
    </xdr:to>
    <xdr:sp macro="" textlink="">
      <xdr:nvSpPr>
        <xdr:cNvPr id="106" name="Line 111"/>
        <xdr:cNvSpPr>
          <a:spLocks noChangeShapeType="1"/>
        </xdr:cNvSpPr>
      </xdr:nvSpPr>
      <xdr:spPr bwMode="auto">
        <a:xfrm>
          <a:off x="3600450" y="4533900"/>
          <a:ext cx="47625" cy="0"/>
        </a:xfrm>
        <a:prstGeom prst="line">
          <a:avLst/>
        </a:prstGeom>
        <a:noFill/>
        <a:ln w="9525">
          <a:solidFill>
            <a:srgbClr val="000000"/>
          </a:solidFill>
          <a:round/>
          <a:headEnd/>
          <a:tailEnd/>
        </a:ln>
      </xdr:spPr>
    </xdr:sp>
    <xdr:clientData/>
  </xdr:twoCellAnchor>
  <xdr:twoCellAnchor>
    <xdr:from>
      <xdr:col>5</xdr:col>
      <xdr:colOff>552450</xdr:colOff>
      <xdr:row>32</xdr:row>
      <xdr:rowOff>38100</xdr:rowOff>
    </xdr:from>
    <xdr:to>
      <xdr:col>6</xdr:col>
      <xdr:colOff>47625</xdr:colOff>
      <xdr:row>32</xdr:row>
      <xdr:rowOff>142875</xdr:rowOff>
    </xdr:to>
    <xdr:sp macro="" textlink="">
      <xdr:nvSpPr>
        <xdr:cNvPr id="107" name="Line 112"/>
        <xdr:cNvSpPr>
          <a:spLocks noChangeShapeType="1"/>
        </xdr:cNvSpPr>
      </xdr:nvSpPr>
      <xdr:spPr bwMode="auto">
        <a:xfrm>
          <a:off x="3514725" y="4733925"/>
          <a:ext cx="104775" cy="104775"/>
        </a:xfrm>
        <a:prstGeom prst="line">
          <a:avLst/>
        </a:prstGeom>
        <a:noFill/>
        <a:ln w="9525">
          <a:solidFill>
            <a:srgbClr val="000000"/>
          </a:solidFill>
          <a:round/>
          <a:headEnd/>
          <a:tailEnd/>
        </a:ln>
      </xdr:spPr>
    </xdr:sp>
    <xdr:clientData/>
  </xdr:twoCellAnchor>
  <xdr:twoCellAnchor>
    <xdr:from>
      <xdr:col>5</xdr:col>
      <xdr:colOff>561975</xdr:colOff>
      <xdr:row>32</xdr:row>
      <xdr:rowOff>19050</xdr:rowOff>
    </xdr:from>
    <xdr:to>
      <xdr:col>6</xdr:col>
      <xdr:colOff>66675</xdr:colOff>
      <xdr:row>33</xdr:row>
      <xdr:rowOff>0</xdr:rowOff>
    </xdr:to>
    <xdr:sp macro="" textlink="">
      <xdr:nvSpPr>
        <xdr:cNvPr id="108" name="Line 113"/>
        <xdr:cNvSpPr>
          <a:spLocks noChangeShapeType="1"/>
        </xdr:cNvSpPr>
      </xdr:nvSpPr>
      <xdr:spPr bwMode="auto">
        <a:xfrm flipV="1">
          <a:off x="3524250" y="4714875"/>
          <a:ext cx="114300" cy="142875"/>
        </a:xfrm>
        <a:prstGeom prst="line">
          <a:avLst/>
        </a:prstGeom>
        <a:noFill/>
        <a:ln w="9525">
          <a:solidFill>
            <a:srgbClr val="000000"/>
          </a:solidFill>
          <a:round/>
          <a:headEnd/>
          <a:tailEnd/>
        </a:ln>
      </xdr:spPr>
    </xdr:sp>
    <xdr:clientData/>
  </xdr:twoCellAnchor>
  <xdr:twoCellAnchor>
    <xdr:from>
      <xdr:col>6</xdr:col>
      <xdr:colOff>28575</xdr:colOff>
      <xdr:row>32</xdr:row>
      <xdr:rowOff>123825</xdr:rowOff>
    </xdr:from>
    <xdr:to>
      <xdr:col>6</xdr:col>
      <xdr:colOff>76200</xdr:colOff>
      <xdr:row>33</xdr:row>
      <xdr:rowOff>0</xdr:rowOff>
    </xdr:to>
    <xdr:sp macro="" textlink="">
      <xdr:nvSpPr>
        <xdr:cNvPr id="109" name="Line 114"/>
        <xdr:cNvSpPr>
          <a:spLocks noChangeShapeType="1"/>
        </xdr:cNvSpPr>
      </xdr:nvSpPr>
      <xdr:spPr bwMode="auto">
        <a:xfrm>
          <a:off x="3600450" y="4819650"/>
          <a:ext cx="47625" cy="3810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152400</xdr:colOff>
      <xdr:row>8</xdr:row>
      <xdr:rowOff>0</xdr:rowOff>
    </xdr:from>
    <xdr:to>
      <xdr:col>2</xdr:col>
      <xdr:colOff>152400</xdr:colOff>
      <xdr:row>8</xdr:row>
      <xdr:rowOff>0</xdr:rowOff>
    </xdr:to>
    <xdr:sp macro="" textlink="">
      <xdr:nvSpPr>
        <xdr:cNvPr id="2" name="Line 1"/>
        <xdr:cNvSpPr>
          <a:spLocks noChangeShapeType="1"/>
        </xdr:cNvSpPr>
      </xdr:nvSpPr>
      <xdr:spPr bwMode="auto">
        <a:xfrm>
          <a:off x="2409825" y="1571625"/>
          <a:ext cx="0" cy="0"/>
        </a:xfrm>
        <a:prstGeom prst="line">
          <a:avLst/>
        </a:prstGeom>
        <a:noFill/>
        <a:ln w="9525">
          <a:solidFill>
            <a:srgbClr val="000000"/>
          </a:solidFill>
          <a:round/>
          <a:headEnd/>
          <a:tailEnd/>
        </a:ln>
      </xdr:spPr>
    </xdr:sp>
    <xdr:clientData/>
  </xdr:twoCellAnchor>
  <xdr:twoCellAnchor>
    <xdr:from>
      <xdr:col>2</xdr:col>
      <xdr:colOff>190500</xdr:colOff>
      <xdr:row>8</xdr:row>
      <xdr:rowOff>0</xdr:rowOff>
    </xdr:from>
    <xdr:to>
      <xdr:col>2</xdr:col>
      <xdr:colOff>190500</xdr:colOff>
      <xdr:row>8</xdr:row>
      <xdr:rowOff>0</xdr:rowOff>
    </xdr:to>
    <xdr:sp macro="" textlink="">
      <xdr:nvSpPr>
        <xdr:cNvPr id="3" name="Line 2"/>
        <xdr:cNvSpPr>
          <a:spLocks noChangeShapeType="1"/>
        </xdr:cNvSpPr>
      </xdr:nvSpPr>
      <xdr:spPr bwMode="auto">
        <a:xfrm>
          <a:off x="2447925" y="1571625"/>
          <a:ext cx="0" cy="0"/>
        </a:xfrm>
        <a:prstGeom prst="line">
          <a:avLst/>
        </a:prstGeom>
        <a:noFill/>
        <a:ln w="9525">
          <a:solidFill>
            <a:srgbClr val="000000"/>
          </a:solidFill>
          <a:round/>
          <a:headEnd/>
          <a:tailEnd/>
        </a:ln>
      </xdr:spPr>
    </xdr:sp>
    <xdr:clientData/>
  </xdr:twoCellAnchor>
  <xdr:twoCellAnchor>
    <xdr:from>
      <xdr:col>2</xdr:col>
      <xdr:colOff>152400</xdr:colOff>
      <xdr:row>16</xdr:row>
      <xdr:rowOff>0</xdr:rowOff>
    </xdr:from>
    <xdr:to>
      <xdr:col>2</xdr:col>
      <xdr:colOff>152400</xdr:colOff>
      <xdr:row>16</xdr:row>
      <xdr:rowOff>0</xdr:rowOff>
    </xdr:to>
    <xdr:sp macro="" textlink="">
      <xdr:nvSpPr>
        <xdr:cNvPr id="4" name="Line 3"/>
        <xdr:cNvSpPr>
          <a:spLocks noChangeShapeType="1"/>
        </xdr:cNvSpPr>
      </xdr:nvSpPr>
      <xdr:spPr bwMode="auto">
        <a:xfrm>
          <a:off x="2409825" y="3048000"/>
          <a:ext cx="0" cy="0"/>
        </a:xfrm>
        <a:prstGeom prst="line">
          <a:avLst/>
        </a:prstGeom>
        <a:noFill/>
        <a:ln w="9525">
          <a:solidFill>
            <a:srgbClr val="000000"/>
          </a:solidFill>
          <a:round/>
          <a:headEnd/>
          <a:tailEnd/>
        </a:ln>
      </xdr:spPr>
    </xdr:sp>
    <xdr:clientData/>
  </xdr:twoCellAnchor>
  <xdr:twoCellAnchor>
    <xdr:from>
      <xdr:col>2</xdr:col>
      <xdr:colOff>190500</xdr:colOff>
      <xdr:row>16</xdr:row>
      <xdr:rowOff>0</xdr:rowOff>
    </xdr:from>
    <xdr:to>
      <xdr:col>2</xdr:col>
      <xdr:colOff>190500</xdr:colOff>
      <xdr:row>16</xdr:row>
      <xdr:rowOff>0</xdr:rowOff>
    </xdr:to>
    <xdr:sp macro="" textlink="">
      <xdr:nvSpPr>
        <xdr:cNvPr id="5" name="Line 4"/>
        <xdr:cNvSpPr>
          <a:spLocks noChangeShapeType="1"/>
        </xdr:cNvSpPr>
      </xdr:nvSpPr>
      <xdr:spPr bwMode="auto">
        <a:xfrm>
          <a:off x="2447925" y="3048000"/>
          <a:ext cx="0" cy="0"/>
        </a:xfrm>
        <a:prstGeom prst="line">
          <a:avLst/>
        </a:prstGeom>
        <a:noFill/>
        <a:ln w="9525">
          <a:solidFill>
            <a:srgbClr val="000000"/>
          </a:solidFill>
          <a:round/>
          <a:headEnd/>
          <a:tailEnd/>
        </a:ln>
      </xdr:spPr>
    </xdr:sp>
    <xdr:clientData/>
  </xdr:twoCellAnchor>
  <xdr:twoCellAnchor>
    <xdr:from>
      <xdr:col>2</xdr:col>
      <xdr:colOff>152400</xdr:colOff>
      <xdr:row>23</xdr:row>
      <xdr:rowOff>0</xdr:rowOff>
    </xdr:from>
    <xdr:to>
      <xdr:col>2</xdr:col>
      <xdr:colOff>152400</xdr:colOff>
      <xdr:row>23</xdr:row>
      <xdr:rowOff>0</xdr:rowOff>
    </xdr:to>
    <xdr:sp macro="" textlink="">
      <xdr:nvSpPr>
        <xdr:cNvPr id="6" name="Line 5"/>
        <xdr:cNvSpPr>
          <a:spLocks noChangeShapeType="1"/>
        </xdr:cNvSpPr>
      </xdr:nvSpPr>
      <xdr:spPr bwMode="auto">
        <a:xfrm>
          <a:off x="2409825" y="4371975"/>
          <a:ext cx="0" cy="0"/>
        </a:xfrm>
        <a:prstGeom prst="line">
          <a:avLst/>
        </a:prstGeom>
        <a:noFill/>
        <a:ln w="9525">
          <a:solidFill>
            <a:srgbClr val="000000"/>
          </a:solidFill>
          <a:round/>
          <a:headEnd/>
          <a:tailEnd/>
        </a:ln>
      </xdr:spPr>
    </xdr:sp>
    <xdr:clientData/>
  </xdr:twoCellAnchor>
  <xdr:twoCellAnchor>
    <xdr:from>
      <xdr:col>2</xdr:col>
      <xdr:colOff>190500</xdr:colOff>
      <xdr:row>23</xdr:row>
      <xdr:rowOff>0</xdr:rowOff>
    </xdr:from>
    <xdr:to>
      <xdr:col>2</xdr:col>
      <xdr:colOff>190500</xdr:colOff>
      <xdr:row>23</xdr:row>
      <xdr:rowOff>0</xdr:rowOff>
    </xdr:to>
    <xdr:sp macro="" textlink="">
      <xdr:nvSpPr>
        <xdr:cNvPr id="7" name="Line 6"/>
        <xdr:cNvSpPr>
          <a:spLocks noChangeShapeType="1"/>
        </xdr:cNvSpPr>
      </xdr:nvSpPr>
      <xdr:spPr bwMode="auto">
        <a:xfrm>
          <a:off x="2447925" y="4371975"/>
          <a:ext cx="0" cy="0"/>
        </a:xfrm>
        <a:prstGeom prst="line">
          <a:avLst/>
        </a:prstGeom>
        <a:noFill/>
        <a:ln w="9525">
          <a:solidFill>
            <a:srgbClr val="000000"/>
          </a:solidFill>
          <a:round/>
          <a:headEnd/>
          <a:tailEnd/>
        </a:ln>
      </xdr:spPr>
    </xdr:sp>
    <xdr:clientData/>
  </xdr:twoCellAnchor>
  <xdr:twoCellAnchor>
    <xdr:from>
      <xdr:col>2</xdr:col>
      <xdr:colOff>152400</xdr:colOff>
      <xdr:row>55</xdr:row>
      <xdr:rowOff>0</xdr:rowOff>
    </xdr:from>
    <xdr:to>
      <xdr:col>2</xdr:col>
      <xdr:colOff>152400</xdr:colOff>
      <xdr:row>55</xdr:row>
      <xdr:rowOff>0</xdr:rowOff>
    </xdr:to>
    <xdr:sp macro="" textlink="">
      <xdr:nvSpPr>
        <xdr:cNvPr id="8" name="Line 7"/>
        <xdr:cNvSpPr>
          <a:spLocks noChangeShapeType="1"/>
        </xdr:cNvSpPr>
      </xdr:nvSpPr>
      <xdr:spPr bwMode="auto">
        <a:xfrm>
          <a:off x="2409825" y="10963275"/>
          <a:ext cx="0" cy="0"/>
        </a:xfrm>
        <a:prstGeom prst="line">
          <a:avLst/>
        </a:prstGeom>
        <a:noFill/>
        <a:ln w="9525">
          <a:solidFill>
            <a:srgbClr val="000000"/>
          </a:solidFill>
          <a:round/>
          <a:headEnd/>
          <a:tailEnd/>
        </a:ln>
      </xdr:spPr>
    </xdr:sp>
    <xdr:clientData/>
  </xdr:twoCellAnchor>
  <xdr:twoCellAnchor>
    <xdr:from>
      <xdr:col>2</xdr:col>
      <xdr:colOff>180975</xdr:colOff>
      <xdr:row>55</xdr:row>
      <xdr:rowOff>0</xdr:rowOff>
    </xdr:from>
    <xdr:to>
      <xdr:col>2</xdr:col>
      <xdr:colOff>180975</xdr:colOff>
      <xdr:row>55</xdr:row>
      <xdr:rowOff>0</xdr:rowOff>
    </xdr:to>
    <xdr:sp macro="" textlink="">
      <xdr:nvSpPr>
        <xdr:cNvPr id="9" name="Line 8"/>
        <xdr:cNvSpPr>
          <a:spLocks noChangeShapeType="1"/>
        </xdr:cNvSpPr>
      </xdr:nvSpPr>
      <xdr:spPr bwMode="auto">
        <a:xfrm>
          <a:off x="2438400" y="10963275"/>
          <a:ext cx="0" cy="0"/>
        </a:xfrm>
        <a:prstGeom prst="line">
          <a:avLst/>
        </a:prstGeom>
        <a:no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9525</xdr:colOff>
      <xdr:row>17</xdr:row>
      <xdr:rowOff>19050</xdr:rowOff>
    </xdr:from>
    <xdr:to>
      <xdr:col>3</xdr:col>
      <xdr:colOff>171450</xdr:colOff>
      <xdr:row>27</xdr:row>
      <xdr:rowOff>0</xdr:rowOff>
    </xdr:to>
    <xdr:sp macro="" textlink="">
      <xdr:nvSpPr>
        <xdr:cNvPr id="2" name="Rectangle 1"/>
        <xdr:cNvSpPr>
          <a:spLocks noChangeArrowheads="1"/>
        </xdr:cNvSpPr>
      </xdr:nvSpPr>
      <xdr:spPr bwMode="auto">
        <a:xfrm>
          <a:off x="1619250" y="2800350"/>
          <a:ext cx="161925" cy="1600200"/>
        </a:xfrm>
        <a:prstGeom prst="rect">
          <a:avLst/>
        </a:prstGeom>
        <a:noFill/>
        <a:ln w="9525">
          <a:solidFill>
            <a:srgbClr val="000000"/>
          </a:solidFill>
          <a:miter lim="800000"/>
          <a:headEnd/>
          <a:tailEnd/>
        </a:ln>
      </xdr:spPr>
    </xdr:sp>
    <xdr:clientData/>
  </xdr:twoCellAnchor>
  <xdr:twoCellAnchor>
    <xdr:from>
      <xdr:col>6</xdr:col>
      <xdr:colOff>9525</xdr:colOff>
      <xdr:row>17</xdr:row>
      <xdr:rowOff>19050</xdr:rowOff>
    </xdr:from>
    <xdr:to>
      <xdr:col>6</xdr:col>
      <xdr:colOff>171450</xdr:colOff>
      <xdr:row>27</xdr:row>
      <xdr:rowOff>0</xdr:rowOff>
    </xdr:to>
    <xdr:sp macro="" textlink="">
      <xdr:nvSpPr>
        <xdr:cNvPr id="3" name="Rectangle 2"/>
        <xdr:cNvSpPr>
          <a:spLocks noChangeArrowheads="1"/>
        </xdr:cNvSpPr>
      </xdr:nvSpPr>
      <xdr:spPr bwMode="auto">
        <a:xfrm>
          <a:off x="3657600" y="2800350"/>
          <a:ext cx="161925" cy="1600200"/>
        </a:xfrm>
        <a:prstGeom prst="rect">
          <a:avLst/>
        </a:prstGeom>
        <a:noFill/>
        <a:ln w="9525">
          <a:solidFill>
            <a:srgbClr val="000000"/>
          </a:solidFill>
          <a:miter lim="800000"/>
          <a:headEnd/>
          <a:tailEnd/>
        </a:ln>
      </xdr:spPr>
    </xdr:sp>
    <xdr:clientData/>
  </xdr:twoCellAnchor>
  <xdr:twoCellAnchor>
    <xdr:from>
      <xdr:col>2</xdr:col>
      <xdr:colOff>333375</xdr:colOff>
      <xdr:row>27</xdr:row>
      <xdr:rowOff>0</xdr:rowOff>
    </xdr:from>
    <xdr:to>
      <xdr:col>6</xdr:col>
      <xdr:colOff>447675</xdr:colOff>
      <xdr:row>28</xdr:row>
      <xdr:rowOff>0</xdr:rowOff>
    </xdr:to>
    <xdr:sp macro="" textlink="">
      <xdr:nvSpPr>
        <xdr:cNvPr id="4" name="Rectangle 3"/>
        <xdr:cNvSpPr>
          <a:spLocks noChangeArrowheads="1"/>
        </xdr:cNvSpPr>
      </xdr:nvSpPr>
      <xdr:spPr bwMode="auto">
        <a:xfrm>
          <a:off x="1343025" y="4400550"/>
          <a:ext cx="2752725" cy="161925"/>
        </a:xfrm>
        <a:prstGeom prst="rect">
          <a:avLst/>
        </a:prstGeom>
        <a:noFill/>
        <a:ln w="9525">
          <a:solidFill>
            <a:srgbClr val="000000"/>
          </a:solidFill>
          <a:miter lim="800000"/>
          <a:headEnd/>
          <a:tailEnd/>
        </a:ln>
      </xdr:spPr>
    </xdr:sp>
    <xdr:clientData/>
  </xdr:twoCellAnchor>
  <xdr:twoCellAnchor>
    <xdr:from>
      <xdr:col>2</xdr:col>
      <xdr:colOff>333375</xdr:colOff>
      <xdr:row>28</xdr:row>
      <xdr:rowOff>9525</xdr:rowOff>
    </xdr:from>
    <xdr:to>
      <xdr:col>6</xdr:col>
      <xdr:colOff>447675</xdr:colOff>
      <xdr:row>28</xdr:row>
      <xdr:rowOff>95250</xdr:rowOff>
    </xdr:to>
    <xdr:sp macro="" textlink="">
      <xdr:nvSpPr>
        <xdr:cNvPr id="5" name="Rectangle 4"/>
        <xdr:cNvSpPr>
          <a:spLocks noChangeArrowheads="1"/>
        </xdr:cNvSpPr>
      </xdr:nvSpPr>
      <xdr:spPr bwMode="auto">
        <a:xfrm>
          <a:off x="1343025" y="4572000"/>
          <a:ext cx="2752725" cy="85725"/>
        </a:xfrm>
        <a:prstGeom prst="rect">
          <a:avLst/>
        </a:prstGeom>
        <a:noFill/>
        <a:ln w="9525">
          <a:solidFill>
            <a:srgbClr val="000000"/>
          </a:solidFill>
          <a:miter lim="800000"/>
          <a:headEnd/>
          <a:tailEnd/>
        </a:ln>
      </xdr:spPr>
    </xdr:sp>
    <xdr:clientData/>
  </xdr:twoCellAnchor>
  <xdr:twoCellAnchor>
    <xdr:from>
      <xdr:col>2</xdr:col>
      <xdr:colOff>342900</xdr:colOff>
      <xdr:row>28</xdr:row>
      <xdr:rowOff>104775</xdr:rowOff>
    </xdr:from>
    <xdr:to>
      <xdr:col>6</xdr:col>
      <xdr:colOff>447675</xdr:colOff>
      <xdr:row>29</xdr:row>
      <xdr:rowOff>38100</xdr:rowOff>
    </xdr:to>
    <xdr:sp macro="" textlink="">
      <xdr:nvSpPr>
        <xdr:cNvPr id="6" name="Rectangle 5"/>
        <xdr:cNvSpPr>
          <a:spLocks noChangeArrowheads="1"/>
        </xdr:cNvSpPr>
      </xdr:nvSpPr>
      <xdr:spPr bwMode="auto">
        <a:xfrm>
          <a:off x="1352550" y="4667250"/>
          <a:ext cx="2743200" cy="95250"/>
        </a:xfrm>
        <a:prstGeom prst="rect">
          <a:avLst/>
        </a:prstGeom>
        <a:noFill/>
        <a:ln w="9525">
          <a:solidFill>
            <a:srgbClr val="000000"/>
          </a:solidFill>
          <a:miter lim="800000"/>
          <a:headEnd/>
          <a:tailEnd/>
        </a:ln>
      </xdr:spPr>
    </xdr:sp>
    <xdr:clientData/>
  </xdr:twoCellAnchor>
  <xdr:twoCellAnchor>
    <xdr:from>
      <xdr:col>21</xdr:col>
      <xdr:colOff>0</xdr:colOff>
      <xdr:row>15</xdr:row>
      <xdr:rowOff>142875</xdr:rowOff>
    </xdr:from>
    <xdr:to>
      <xdr:col>21</xdr:col>
      <xdr:colOff>0</xdr:colOff>
      <xdr:row>15</xdr:row>
      <xdr:rowOff>152400</xdr:rowOff>
    </xdr:to>
    <xdr:sp macro="" textlink="">
      <xdr:nvSpPr>
        <xdr:cNvPr id="7" name="Arc 6"/>
        <xdr:cNvSpPr>
          <a:spLocks/>
        </xdr:cNvSpPr>
      </xdr:nvSpPr>
      <xdr:spPr bwMode="auto">
        <a:xfrm>
          <a:off x="13001625" y="2600325"/>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39</xdr:col>
      <xdr:colOff>190500</xdr:colOff>
      <xdr:row>20</xdr:row>
      <xdr:rowOff>47625</xdr:rowOff>
    </xdr:from>
    <xdr:to>
      <xdr:col>40</xdr:col>
      <xdr:colOff>438150</xdr:colOff>
      <xdr:row>25</xdr:row>
      <xdr:rowOff>95250</xdr:rowOff>
    </xdr:to>
    <xdr:sp macro="" textlink="">
      <xdr:nvSpPr>
        <xdr:cNvPr id="8" name="Line 7"/>
        <xdr:cNvSpPr>
          <a:spLocks noChangeShapeType="1"/>
        </xdr:cNvSpPr>
      </xdr:nvSpPr>
      <xdr:spPr bwMode="auto">
        <a:xfrm flipH="1">
          <a:off x="24164925" y="3314700"/>
          <a:ext cx="857250" cy="857250"/>
        </a:xfrm>
        <a:prstGeom prst="line">
          <a:avLst/>
        </a:prstGeom>
        <a:noFill/>
        <a:ln w="9525">
          <a:solidFill>
            <a:srgbClr val="000000"/>
          </a:solidFill>
          <a:round/>
          <a:headEnd/>
          <a:tailEnd/>
        </a:ln>
      </xdr:spPr>
    </xdr:sp>
    <xdr:clientData/>
  </xdr:twoCellAnchor>
  <xdr:twoCellAnchor>
    <xdr:from>
      <xdr:col>3</xdr:col>
      <xdr:colOff>171450</xdr:colOff>
      <xdr:row>23</xdr:row>
      <xdr:rowOff>95250</xdr:rowOff>
    </xdr:from>
    <xdr:to>
      <xdr:col>4</xdr:col>
      <xdr:colOff>352425</xdr:colOff>
      <xdr:row>23</xdr:row>
      <xdr:rowOff>95250</xdr:rowOff>
    </xdr:to>
    <xdr:sp macro="" textlink="">
      <xdr:nvSpPr>
        <xdr:cNvPr id="9" name="Line 8"/>
        <xdr:cNvSpPr>
          <a:spLocks noChangeShapeType="1"/>
        </xdr:cNvSpPr>
      </xdr:nvSpPr>
      <xdr:spPr bwMode="auto">
        <a:xfrm>
          <a:off x="1781175" y="3848100"/>
          <a:ext cx="790575" cy="0"/>
        </a:xfrm>
        <a:prstGeom prst="line">
          <a:avLst/>
        </a:prstGeom>
        <a:noFill/>
        <a:ln w="9525">
          <a:solidFill>
            <a:srgbClr val="000000"/>
          </a:solidFill>
          <a:round/>
          <a:headEnd/>
          <a:tailEnd/>
        </a:ln>
      </xdr:spPr>
    </xdr:sp>
    <xdr:clientData/>
  </xdr:twoCellAnchor>
  <xdr:twoCellAnchor>
    <xdr:from>
      <xdr:col>5</xdr:col>
      <xdr:colOff>76200</xdr:colOff>
      <xdr:row>23</xdr:row>
      <xdr:rowOff>104775</xdr:rowOff>
    </xdr:from>
    <xdr:to>
      <xdr:col>5</xdr:col>
      <xdr:colOff>600075</xdr:colOff>
      <xdr:row>23</xdr:row>
      <xdr:rowOff>104775</xdr:rowOff>
    </xdr:to>
    <xdr:sp macro="" textlink="">
      <xdr:nvSpPr>
        <xdr:cNvPr id="10" name="Line 9"/>
        <xdr:cNvSpPr>
          <a:spLocks noChangeShapeType="1"/>
        </xdr:cNvSpPr>
      </xdr:nvSpPr>
      <xdr:spPr bwMode="auto">
        <a:xfrm flipH="1">
          <a:off x="3067050" y="3857625"/>
          <a:ext cx="523875" cy="0"/>
        </a:xfrm>
        <a:prstGeom prst="line">
          <a:avLst/>
        </a:prstGeom>
        <a:noFill/>
        <a:ln w="9525">
          <a:solidFill>
            <a:srgbClr val="000000"/>
          </a:solidFill>
          <a:round/>
          <a:headEnd/>
          <a:tailEnd/>
        </a:ln>
      </xdr:spPr>
    </xdr:sp>
    <xdr:clientData/>
  </xdr:twoCellAnchor>
  <xdr:twoCellAnchor>
    <xdr:from>
      <xdr:col>40</xdr:col>
      <xdr:colOff>19050</xdr:colOff>
      <xdr:row>29</xdr:row>
      <xdr:rowOff>152400</xdr:rowOff>
    </xdr:from>
    <xdr:to>
      <xdr:col>41</xdr:col>
      <xdr:colOff>142875</xdr:colOff>
      <xdr:row>29</xdr:row>
      <xdr:rowOff>152400</xdr:rowOff>
    </xdr:to>
    <xdr:sp macro="" textlink="">
      <xdr:nvSpPr>
        <xdr:cNvPr id="11" name="Line 10"/>
        <xdr:cNvSpPr>
          <a:spLocks noChangeShapeType="1"/>
        </xdr:cNvSpPr>
      </xdr:nvSpPr>
      <xdr:spPr bwMode="auto">
        <a:xfrm>
          <a:off x="24603075" y="4876800"/>
          <a:ext cx="733425" cy="0"/>
        </a:xfrm>
        <a:prstGeom prst="line">
          <a:avLst/>
        </a:prstGeom>
        <a:noFill/>
        <a:ln w="9525">
          <a:solidFill>
            <a:srgbClr val="000000"/>
          </a:solidFill>
          <a:round/>
          <a:headEnd/>
          <a:tailEnd/>
        </a:ln>
      </xdr:spPr>
    </xdr:sp>
    <xdr:clientData/>
  </xdr:twoCellAnchor>
  <xdr:twoCellAnchor>
    <xdr:from>
      <xdr:col>3</xdr:col>
      <xdr:colOff>133350</xdr:colOff>
      <xdr:row>23</xdr:row>
      <xdr:rowOff>47625</xdr:rowOff>
    </xdr:from>
    <xdr:to>
      <xdr:col>3</xdr:col>
      <xdr:colOff>228600</xdr:colOff>
      <xdr:row>23</xdr:row>
      <xdr:rowOff>123825</xdr:rowOff>
    </xdr:to>
    <xdr:sp macro="" textlink="">
      <xdr:nvSpPr>
        <xdr:cNvPr id="12" name="Line 11"/>
        <xdr:cNvSpPr>
          <a:spLocks noChangeShapeType="1"/>
        </xdr:cNvSpPr>
      </xdr:nvSpPr>
      <xdr:spPr bwMode="auto">
        <a:xfrm flipV="1">
          <a:off x="1743075" y="3800475"/>
          <a:ext cx="95250" cy="76200"/>
        </a:xfrm>
        <a:prstGeom prst="line">
          <a:avLst/>
        </a:prstGeom>
        <a:noFill/>
        <a:ln w="9525">
          <a:solidFill>
            <a:srgbClr val="000000"/>
          </a:solidFill>
          <a:round/>
          <a:headEnd/>
          <a:tailEnd/>
        </a:ln>
      </xdr:spPr>
    </xdr:sp>
    <xdr:clientData/>
  </xdr:twoCellAnchor>
  <xdr:twoCellAnchor>
    <xdr:from>
      <xdr:col>5</xdr:col>
      <xdr:colOff>571500</xdr:colOff>
      <xdr:row>23</xdr:row>
      <xdr:rowOff>47625</xdr:rowOff>
    </xdr:from>
    <xdr:to>
      <xdr:col>6</xdr:col>
      <xdr:colOff>47625</xdr:colOff>
      <xdr:row>23</xdr:row>
      <xdr:rowOff>142875</xdr:rowOff>
    </xdr:to>
    <xdr:sp macro="" textlink="">
      <xdr:nvSpPr>
        <xdr:cNvPr id="13" name="Line 12"/>
        <xdr:cNvSpPr>
          <a:spLocks noChangeShapeType="1"/>
        </xdr:cNvSpPr>
      </xdr:nvSpPr>
      <xdr:spPr bwMode="auto">
        <a:xfrm flipV="1">
          <a:off x="3562350" y="3800475"/>
          <a:ext cx="133350" cy="95250"/>
        </a:xfrm>
        <a:prstGeom prst="line">
          <a:avLst/>
        </a:prstGeom>
        <a:noFill/>
        <a:ln w="9525">
          <a:solidFill>
            <a:srgbClr val="000000"/>
          </a:solidFill>
          <a:round/>
          <a:headEnd/>
          <a:tailEnd/>
        </a:ln>
      </xdr:spPr>
    </xdr:sp>
    <xdr:clientData/>
  </xdr:twoCellAnchor>
  <xdr:twoCellAnchor>
    <xdr:from>
      <xdr:col>39</xdr:col>
      <xdr:colOff>247650</xdr:colOff>
      <xdr:row>21</xdr:row>
      <xdr:rowOff>142875</xdr:rowOff>
    </xdr:from>
    <xdr:to>
      <xdr:col>39</xdr:col>
      <xdr:colOff>276225</xdr:colOff>
      <xdr:row>22</xdr:row>
      <xdr:rowOff>28575</xdr:rowOff>
    </xdr:to>
    <xdr:sp macro="" textlink="">
      <xdr:nvSpPr>
        <xdr:cNvPr id="14" name="Line 13"/>
        <xdr:cNvSpPr>
          <a:spLocks noChangeShapeType="1"/>
        </xdr:cNvSpPr>
      </xdr:nvSpPr>
      <xdr:spPr bwMode="auto">
        <a:xfrm flipH="1">
          <a:off x="24222075" y="3571875"/>
          <a:ext cx="28575" cy="47625"/>
        </a:xfrm>
        <a:prstGeom prst="line">
          <a:avLst/>
        </a:prstGeom>
        <a:noFill/>
        <a:ln w="9525">
          <a:solidFill>
            <a:srgbClr val="000000"/>
          </a:solidFill>
          <a:round/>
          <a:headEnd/>
          <a:tailEnd/>
        </a:ln>
      </xdr:spPr>
    </xdr:sp>
    <xdr:clientData/>
  </xdr:twoCellAnchor>
  <xdr:twoCellAnchor>
    <xdr:from>
      <xdr:col>35</xdr:col>
      <xdr:colOff>180975</xdr:colOff>
      <xdr:row>27</xdr:row>
      <xdr:rowOff>0</xdr:rowOff>
    </xdr:from>
    <xdr:to>
      <xdr:col>35</xdr:col>
      <xdr:colOff>314325</xdr:colOff>
      <xdr:row>28</xdr:row>
      <xdr:rowOff>47625</xdr:rowOff>
    </xdr:to>
    <xdr:sp macro="" textlink="">
      <xdr:nvSpPr>
        <xdr:cNvPr id="15" name="Line 14"/>
        <xdr:cNvSpPr>
          <a:spLocks noChangeShapeType="1"/>
        </xdr:cNvSpPr>
      </xdr:nvSpPr>
      <xdr:spPr bwMode="auto">
        <a:xfrm>
          <a:off x="21717000" y="4400550"/>
          <a:ext cx="133350" cy="209550"/>
        </a:xfrm>
        <a:prstGeom prst="line">
          <a:avLst/>
        </a:prstGeom>
        <a:noFill/>
        <a:ln w="9525">
          <a:solidFill>
            <a:srgbClr val="000000"/>
          </a:solidFill>
          <a:round/>
          <a:headEnd/>
          <a:tailEnd/>
        </a:ln>
      </xdr:spPr>
    </xdr:sp>
    <xdr:clientData/>
  </xdr:twoCellAnchor>
  <xdr:twoCellAnchor>
    <xdr:from>
      <xdr:col>34</xdr:col>
      <xdr:colOff>171450</xdr:colOff>
      <xdr:row>26</xdr:row>
      <xdr:rowOff>152400</xdr:rowOff>
    </xdr:from>
    <xdr:to>
      <xdr:col>34</xdr:col>
      <xdr:colOff>285750</xdr:colOff>
      <xdr:row>28</xdr:row>
      <xdr:rowOff>9525</xdr:rowOff>
    </xdr:to>
    <xdr:sp macro="" textlink="">
      <xdr:nvSpPr>
        <xdr:cNvPr id="16" name="Line 15"/>
        <xdr:cNvSpPr>
          <a:spLocks noChangeShapeType="1"/>
        </xdr:cNvSpPr>
      </xdr:nvSpPr>
      <xdr:spPr bwMode="auto">
        <a:xfrm>
          <a:off x="21097875" y="4391025"/>
          <a:ext cx="114300" cy="180975"/>
        </a:xfrm>
        <a:prstGeom prst="line">
          <a:avLst/>
        </a:prstGeom>
        <a:noFill/>
        <a:ln w="9525">
          <a:solidFill>
            <a:srgbClr val="000000"/>
          </a:solidFill>
          <a:round/>
          <a:headEnd/>
          <a:tailEnd/>
        </a:ln>
      </xdr:spPr>
    </xdr:sp>
    <xdr:clientData/>
  </xdr:twoCellAnchor>
  <xdr:twoCellAnchor>
    <xdr:from>
      <xdr:col>20</xdr:col>
      <xdr:colOff>371475</xdr:colOff>
      <xdr:row>16</xdr:row>
      <xdr:rowOff>19050</xdr:rowOff>
    </xdr:from>
    <xdr:to>
      <xdr:col>20</xdr:col>
      <xdr:colOff>371475</xdr:colOff>
      <xdr:row>16</xdr:row>
      <xdr:rowOff>38100</xdr:rowOff>
    </xdr:to>
    <xdr:sp macro="" textlink="">
      <xdr:nvSpPr>
        <xdr:cNvPr id="17" name="Line 16"/>
        <xdr:cNvSpPr>
          <a:spLocks noChangeShapeType="1"/>
        </xdr:cNvSpPr>
      </xdr:nvSpPr>
      <xdr:spPr bwMode="auto">
        <a:xfrm>
          <a:off x="12763500" y="2638425"/>
          <a:ext cx="0" cy="19050"/>
        </a:xfrm>
        <a:prstGeom prst="line">
          <a:avLst/>
        </a:prstGeom>
        <a:noFill/>
        <a:ln w="9525">
          <a:solidFill>
            <a:srgbClr val="000000"/>
          </a:solidFill>
          <a:round/>
          <a:headEnd/>
          <a:tailEnd/>
        </a:ln>
      </xdr:spPr>
    </xdr:sp>
    <xdr:clientData/>
  </xdr:twoCellAnchor>
  <xdr:twoCellAnchor>
    <xdr:from>
      <xdr:col>6</xdr:col>
      <xdr:colOff>600075</xdr:colOff>
      <xdr:row>43</xdr:row>
      <xdr:rowOff>0</xdr:rowOff>
    </xdr:from>
    <xdr:to>
      <xdr:col>7</xdr:col>
      <xdr:colOff>0</xdr:colOff>
      <xdr:row>43</xdr:row>
      <xdr:rowOff>0</xdr:rowOff>
    </xdr:to>
    <xdr:sp macro="" textlink="">
      <xdr:nvSpPr>
        <xdr:cNvPr id="18" name="Line 17"/>
        <xdr:cNvSpPr>
          <a:spLocks noChangeShapeType="1"/>
        </xdr:cNvSpPr>
      </xdr:nvSpPr>
      <xdr:spPr bwMode="auto">
        <a:xfrm flipH="1" flipV="1">
          <a:off x="4248150" y="7019925"/>
          <a:ext cx="19050" cy="0"/>
        </a:xfrm>
        <a:prstGeom prst="line">
          <a:avLst/>
        </a:prstGeom>
        <a:noFill/>
        <a:ln w="9525">
          <a:solidFill>
            <a:srgbClr val="000000"/>
          </a:solidFill>
          <a:round/>
          <a:headEnd/>
          <a:tailEnd/>
        </a:ln>
      </xdr:spPr>
    </xdr:sp>
    <xdr:clientData/>
  </xdr:twoCellAnchor>
  <xdr:twoCellAnchor>
    <xdr:from>
      <xdr:col>6</xdr:col>
      <xdr:colOff>600075</xdr:colOff>
      <xdr:row>43</xdr:row>
      <xdr:rowOff>0</xdr:rowOff>
    </xdr:from>
    <xdr:to>
      <xdr:col>7</xdr:col>
      <xdr:colOff>0</xdr:colOff>
      <xdr:row>43</xdr:row>
      <xdr:rowOff>0</xdr:rowOff>
    </xdr:to>
    <xdr:sp macro="" textlink="">
      <xdr:nvSpPr>
        <xdr:cNvPr id="19" name="Line 18"/>
        <xdr:cNvSpPr>
          <a:spLocks noChangeShapeType="1"/>
        </xdr:cNvSpPr>
      </xdr:nvSpPr>
      <xdr:spPr bwMode="auto">
        <a:xfrm flipH="1" flipV="1">
          <a:off x="4248150" y="7019925"/>
          <a:ext cx="19050" cy="0"/>
        </a:xfrm>
        <a:prstGeom prst="line">
          <a:avLst/>
        </a:prstGeom>
        <a:noFill/>
        <a:ln w="9525">
          <a:solidFill>
            <a:srgbClr val="000000"/>
          </a:solidFill>
          <a:round/>
          <a:headEnd/>
          <a:tailEnd/>
        </a:ln>
      </xdr:spPr>
    </xdr:sp>
    <xdr:clientData/>
  </xdr:twoCellAnchor>
  <xdr:twoCellAnchor>
    <xdr:from>
      <xdr:col>6</xdr:col>
      <xdr:colOff>600075</xdr:colOff>
      <xdr:row>43</xdr:row>
      <xdr:rowOff>0</xdr:rowOff>
    </xdr:from>
    <xdr:to>
      <xdr:col>7</xdr:col>
      <xdr:colOff>0</xdr:colOff>
      <xdr:row>43</xdr:row>
      <xdr:rowOff>0</xdr:rowOff>
    </xdr:to>
    <xdr:sp macro="" textlink="">
      <xdr:nvSpPr>
        <xdr:cNvPr id="20" name="Line 19"/>
        <xdr:cNvSpPr>
          <a:spLocks noChangeShapeType="1"/>
        </xdr:cNvSpPr>
      </xdr:nvSpPr>
      <xdr:spPr bwMode="auto">
        <a:xfrm flipH="1" flipV="1">
          <a:off x="4248150" y="7019925"/>
          <a:ext cx="19050" cy="0"/>
        </a:xfrm>
        <a:prstGeom prst="line">
          <a:avLst/>
        </a:prstGeom>
        <a:noFill/>
        <a:ln w="9525">
          <a:solidFill>
            <a:srgbClr val="000000"/>
          </a:solidFill>
          <a:round/>
          <a:headEnd/>
          <a:tailEnd/>
        </a:ln>
      </xdr:spPr>
    </xdr:sp>
    <xdr:clientData/>
  </xdr:twoCellAnchor>
  <xdr:twoCellAnchor>
    <xdr:from>
      <xdr:col>6</xdr:col>
      <xdr:colOff>600075</xdr:colOff>
      <xdr:row>43</xdr:row>
      <xdr:rowOff>0</xdr:rowOff>
    </xdr:from>
    <xdr:to>
      <xdr:col>7</xdr:col>
      <xdr:colOff>0</xdr:colOff>
      <xdr:row>43</xdr:row>
      <xdr:rowOff>0</xdr:rowOff>
    </xdr:to>
    <xdr:sp macro="" textlink="">
      <xdr:nvSpPr>
        <xdr:cNvPr id="21" name="Line 20"/>
        <xdr:cNvSpPr>
          <a:spLocks noChangeShapeType="1"/>
        </xdr:cNvSpPr>
      </xdr:nvSpPr>
      <xdr:spPr bwMode="auto">
        <a:xfrm flipH="1" flipV="1">
          <a:off x="4248150" y="7019925"/>
          <a:ext cx="19050" cy="0"/>
        </a:xfrm>
        <a:prstGeom prst="line">
          <a:avLst/>
        </a:prstGeom>
        <a:noFill/>
        <a:ln w="9525">
          <a:solidFill>
            <a:srgbClr val="000000"/>
          </a:solidFill>
          <a:round/>
          <a:headEnd/>
          <a:tailEnd/>
        </a:ln>
      </xdr:spPr>
    </xdr:sp>
    <xdr:clientData/>
  </xdr:twoCellAnchor>
  <xdr:twoCellAnchor>
    <xdr:from>
      <xdr:col>6</xdr:col>
      <xdr:colOff>171450</xdr:colOff>
      <xdr:row>26</xdr:row>
      <xdr:rowOff>104775</xdr:rowOff>
    </xdr:from>
    <xdr:to>
      <xdr:col>6</xdr:col>
      <xdr:colOff>457200</xdr:colOff>
      <xdr:row>26</xdr:row>
      <xdr:rowOff>104775</xdr:rowOff>
    </xdr:to>
    <xdr:sp macro="" textlink="">
      <xdr:nvSpPr>
        <xdr:cNvPr id="22" name="Line 21"/>
        <xdr:cNvSpPr>
          <a:spLocks noChangeShapeType="1"/>
        </xdr:cNvSpPr>
      </xdr:nvSpPr>
      <xdr:spPr bwMode="auto">
        <a:xfrm>
          <a:off x="3819525" y="4343400"/>
          <a:ext cx="285750" cy="0"/>
        </a:xfrm>
        <a:prstGeom prst="line">
          <a:avLst/>
        </a:prstGeom>
        <a:noFill/>
        <a:ln w="9525">
          <a:solidFill>
            <a:srgbClr val="000000"/>
          </a:solidFill>
          <a:round/>
          <a:headEnd/>
          <a:tailEnd/>
        </a:ln>
      </xdr:spPr>
    </xdr:sp>
    <xdr:clientData/>
  </xdr:twoCellAnchor>
  <xdr:twoCellAnchor>
    <xdr:from>
      <xdr:col>6</xdr:col>
      <xdr:colOff>447675</xdr:colOff>
      <xdr:row>26</xdr:row>
      <xdr:rowOff>57150</xdr:rowOff>
    </xdr:from>
    <xdr:to>
      <xdr:col>6</xdr:col>
      <xdr:colOff>447675</xdr:colOff>
      <xdr:row>26</xdr:row>
      <xdr:rowOff>142875</xdr:rowOff>
    </xdr:to>
    <xdr:sp macro="" textlink="">
      <xdr:nvSpPr>
        <xdr:cNvPr id="23" name="Line 22"/>
        <xdr:cNvSpPr>
          <a:spLocks noChangeShapeType="1"/>
        </xdr:cNvSpPr>
      </xdr:nvSpPr>
      <xdr:spPr bwMode="auto">
        <a:xfrm>
          <a:off x="4095750" y="4295775"/>
          <a:ext cx="0" cy="85725"/>
        </a:xfrm>
        <a:prstGeom prst="line">
          <a:avLst/>
        </a:prstGeom>
        <a:noFill/>
        <a:ln w="9525">
          <a:solidFill>
            <a:srgbClr val="000000"/>
          </a:solidFill>
          <a:round/>
          <a:headEnd/>
          <a:tailEnd/>
        </a:ln>
      </xdr:spPr>
    </xdr:sp>
    <xdr:clientData/>
  </xdr:twoCellAnchor>
  <xdr:twoCellAnchor>
    <xdr:from>
      <xdr:col>6</xdr:col>
      <xdr:colOff>323850</xdr:colOff>
      <xdr:row>25</xdr:row>
      <xdr:rowOff>85725</xdr:rowOff>
    </xdr:from>
    <xdr:to>
      <xdr:col>6</xdr:col>
      <xdr:colOff>409575</xdr:colOff>
      <xdr:row>26</xdr:row>
      <xdr:rowOff>85725</xdr:rowOff>
    </xdr:to>
    <xdr:sp macro="" textlink="">
      <xdr:nvSpPr>
        <xdr:cNvPr id="24" name="Line 23"/>
        <xdr:cNvSpPr>
          <a:spLocks noChangeShapeType="1"/>
        </xdr:cNvSpPr>
      </xdr:nvSpPr>
      <xdr:spPr bwMode="auto">
        <a:xfrm flipV="1">
          <a:off x="3971925" y="4162425"/>
          <a:ext cx="85725" cy="161925"/>
        </a:xfrm>
        <a:prstGeom prst="line">
          <a:avLst/>
        </a:prstGeom>
        <a:noFill/>
        <a:ln w="9525">
          <a:solidFill>
            <a:srgbClr val="000000"/>
          </a:solidFill>
          <a:round/>
          <a:headEnd/>
          <a:tailEnd/>
        </a:ln>
      </xdr:spPr>
    </xdr:sp>
    <xdr:clientData/>
  </xdr:twoCellAnchor>
  <xdr:twoCellAnchor>
    <xdr:from>
      <xdr:col>6</xdr:col>
      <xdr:colOff>438150</xdr:colOff>
      <xdr:row>28</xdr:row>
      <xdr:rowOff>38100</xdr:rowOff>
    </xdr:from>
    <xdr:to>
      <xdr:col>7</xdr:col>
      <xdr:colOff>19050</xdr:colOff>
      <xdr:row>28</xdr:row>
      <xdr:rowOff>85725</xdr:rowOff>
    </xdr:to>
    <xdr:sp macro="" textlink="">
      <xdr:nvSpPr>
        <xdr:cNvPr id="25" name="Line 24"/>
        <xdr:cNvSpPr>
          <a:spLocks noChangeShapeType="1"/>
        </xdr:cNvSpPr>
      </xdr:nvSpPr>
      <xdr:spPr bwMode="auto">
        <a:xfrm>
          <a:off x="4086225" y="4600575"/>
          <a:ext cx="200025" cy="47625"/>
        </a:xfrm>
        <a:prstGeom prst="line">
          <a:avLst/>
        </a:prstGeom>
        <a:noFill/>
        <a:ln w="9525">
          <a:solidFill>
            <a:srgbClr val="000000"/>
          </a:solidFill>
          <a:round/>
          <a:headEnd/>
          <a:tailEnd/>
        </a:ln>
      </xdr:spPr>
    </xdr:sp>
    <xdr:clientData/>
  </xdr:twoCellAnchor>
  <xdr:twoCellAnchor>
    <xdr:from>
      <xdr:col>6</xdr:col>
      <xdr:colOff>447675</xdr:colOff>
      <xdr:row>28</xdr:row>
      <xdr:rowOff>152400</xdr:rowOff>
    </xdr:from>
    <xdr:to>
      <xdr:col>7</xdr:col>
      <xdr:colOff>19050</xdr:colOff>
      <xdr:row>29</xdr:row>
      <xdr:rowOff>85725</xdr:rowOff>
    </xdr:to>
    <xdr:sp macro="" textlink="">
      <xdr:nvSpPr>
        <xdr:cNvPr id="26" name="Line 25"/>
        <xdr:cNvSpPr>
          <a:spLocks noChangeShapeType="1"/>
        </xdr:cNvSpPr>
      </xdr:nvSpPr>
      <xdr:spPr bwMode="auto">
        <a:xfrm>
          <a:off x="4095750" y="4714875"/>
          <a:ext cx="190500" cy="95250"/>
        </a:xfrm>
        <a:prstGeom prst="line">
          <a:avLst/>
        </a:prstGeom>
        <a:noFill/>
        <a:ln w="9525">
          <a:solidFill>
            <a:srgbClr val="000000"/>
          </a:solidFill>
          <a:round/>
          <a:headEnd/>
          <a:tailEnd/>
        </a:ln>
      </xdr:spPr>
    </xdr:sp>
    <xdr:clientData/>
  </xdr:twoCellAnchor>
  <xdr:twoCellAnchor>
    <xdr:from>
      <xdr:col>2</xdr:col>
      <xdr:colOff>314325</xdr:colOff>
      <xdr:row>29</xdr:row>
      <xdr:rowOff>133350</xdr:rowOff>
    </xdr:from>
    <xdr:to>
      <xdr:col>6</xdr:col>
      <xdr:colOff>457200</xdr:colOff>
      <xdr:row>29</xdr:row>
      <xdr:rowOff>133350</xdr:rowOff>
    </xdr:to>
    <xdr:sp macro="" textlink="">
      <xdr:nvSpPr>
        <xdr:cNvPr id="27" name="Line 26"/>
        <xdr:cNvSpPr>
          <a:spLocks noChangeShapeType="1"/>
        </xdr:cNvSpPr>
      </xdr:nvSpPr>
      <xdr:spPr bwMode="auto">
        <a:xfrm>
          <a:off x="1323975" y="4857750"/>
          <a:ext cx="2781300" cy="0"/>
        </a:xfrm>
        <a:prstGeom prst="line">
          <a:avLst/>
        </a:prstGeom>
        <a:noFill/>
        <a:ln w="9525">
          <a:solidFill>
            <a:srgbClr val="000000"/>
          </a:solidFill>
          <a:round/>
          <a:headEnd/>
          <a:tailEnd/>
        </a:ln>
      </xdr:spPr>
    </xdr:sp>
    <xdr:clientData/>
  </xdr:twoCellAnchor>
  <xdr:twoCellAnchor>
    <xdr:from>
      <xdr:col>2</xdr:col>
      <xdr:colOff>314325</xdr:colOff>
      <xdr:row>29</xdr:row>
      <xdr:rowOff>57150</xdr:rowOff>
    </xdr:from>
    <xdr:to>
      <xdr:col>2</xdr:col>
      <xdr:colOff>314325</xdr:colOff>
      <xdr:row>30</xdr:row>
      <xdr:rowOff>19050</xdr:rowOff>
    </xdr:to>
    <xdr:sp macro="" textlink="">
      <xdr:nvSpPr>
        <xdr:cNvPr id="28" name="Line 27"/>
        <xdr:cNvSpPr>
          <a:spLocks noChangeShapeType="1"/>
        </xdr:cNvSpPr>
      </xdr:nvSpPr>
      <xdr:spPr bwMode="auto">
        <a:xfrm>
          <a:off x="1323975" y="4781550"/>
          <a:ext cx="0" cy="123825"/>
        </a:xfrm>
        <a:prstGeom prst="line">
          <a:avLst/>
        </a:prstGeom>
        <a:noFill/>
        <a:ln w="9525">
          <a:solidFill>
            <a:srgbClr val="000000"/>
          </a:solidFill>
          <a:round/>
          <a:headEnd/>
          <a:tailEnd/>
        </a:ln>
      </xdr:spPr>
    </xdr:sp>
    <xdr:clientData/>
  </xdr:twoCellAnchor>
  <xdr:twoCellAnchor>
    <xdr:from>
      <xdr:col>6</xdr:col>
      <xdr:colOff>457200</xdr:colOff>
      <xdr:row>29</xdr:row>
      <xdr:rowOff>66675</xdr:rowOff>
    </xdr:from>
    <xdr:to>
      <xdr:col>6</xdr:col>
      <xdr:colOff>457200</xdr:colOff>
      <xdr:row>30</xdr:row>
      <xdr:rowOff>76200</xdr:rowOff>
    </xdr:to>
    <xdr:sp macro="" textlink="">
      <xdr:nvSpPr>
        <xdr:cNvPr id="29" name="Line 28"/>
        <xdr:cNvSpPr>
          <a:spLocks noChangeShapeType="1"/>
        </xdr:cNvSpPr>
      </xdr:nvSpPr>
      <xdr:spPr bwMode="auto">
        <a:xfrm>
          <a:off x="4105275" y="4791075"/>
          <a:ext cx="0" cy="171450"/>
        </a:xfrm>
        <a:prstGeom prst="line">
          <a:avLst/>
        </a:prstGeom>
        <a:noFill/>
        <a:ln w="9525">
          <a:solidFill>
            <a:srgbClr val="000000"/>
          </a:solidFill>
          <a:round/>
          <a:headEnd/>
          <a:tailEnd/>
        </a:ln>
      </xdr:spPr>
    </xdr:sp>
    <xdr:clientData/>
  </xdr:twoCellAnchor>
  <xdr:twoCellAnchor>
    <xdr:from>
      <xdr:col>29</xdr:col>
      <xdr:colOff>228600</xdr:colOff>
      <xdr:row>89</xdr:row>
      <xdr:rowOff>142875</xdr:rowOff>
    </xdr:from>
    <xdr:to>
      <xdr:col>29</xdr:col>
      <xdr:colOff>304800</xdr:colOff>
      <xdr:row>91</xdr:row>
      <xdr:rowOff>0</xdr:rowOff>
    </xdr:to>
    <xdr:sp macro="" textlink="">
      <xdr:nvSpPr>
        <xdr:cNvPr id="30" name="Line 29"/>
        <xdr:cNvSpPr>
          <a:spLocks noChangeShapeType="1"/>
        </xdr:cNvSpPr>
      </xdr:nvSpPr>
      <xdr:spPr bwMode="auto">
        <a:xfrm flipH="1">
          <a:off x="18107025" y="19812000"/>
          <a:ext cx="76200" cy="180975"/>
        </a:xfrm>
        <a:prstGeom prst="line">
          <a:avLst/>
        </a:prstGeom>
        <a:noFill/>
        <a:ln w="9525">
          <a:solidFill>
            <a:srgbClr val="000000"/>
          </a:solidFill>
          <a:round/>
          <a:headEnd/>
          <a:tailEnd/>
        </a:ln>
      </xdr:spPr>
    </xdr:sp>
    <xdr:clientData/>
  </xdr:twoCellAnchor>
  <xdr:twoCellAnchor>
    <xdr:from>
      <xdr:col>46</xdr:col>
      <xdr:colOff>209550</xdr:colOff>
      <xdr:row>88</xdr:row>
      <xdr:rowOff>0</xdr:rowOff>
    </xdr:from>
    <xdr:to>
      <xdr:col>46</xdr:col>
      <xdr:colOff>295275</xdr:colOff>
      <xdr:row>88</xdr:row>
      <xdr:rowOff>0</xdr:rowOff>
    </xdr:to>
    <xdr:sp macro="" textlink="">
      <xdr:nvSpPr>
        <xdr:cNvPr id="31" name="Line 30"/>
        <xdr:cNvSpPr>
          <a:spLocks noChangeShapeType="1"/>
        </xdr:cNvSpPr>
      </xdr:nvSpPr>
      <xdr:spPr bwMode="auto">
        <a:xfrm>
          <a:off x="28451175" y="19507200"/>
          <a:ext cx="85725" cy="0"/>
        </a:xfrm>
        <a:prstGeom prst="line">
          <a:avLst/>
        </a:prstGeom>
        <a:noFill/>
        <a:ln w="9525">
          <a:solidFill>
            <a:srgbClr val="000000"/>
          </a:solidFill>
          <a:round/>
          <a:headEnd/>
          <a:tailEnd/>
        </a:ln>
      </xdr:spPr>
    </xdr:sp>
    <xdr:clientData/>
  </xdr:twoCellAnchor>
  <xdr:twoCellAnchor>
    <xdr:from>
      <xdr:col>91</xdr:col>
      <xdr:colOff>171450</xdr:colOff>
      <xdr:row>81</xdr:row>
      <xdr:rowOff>76200</xdr:rowOff>
    </xdr:from>
    <xdr:to>
      <xdr:col>91</xdr:col>
      <xdr:colOff>361950</xdr:colOff>
      <xdr:row>81</xdr:row>
      <xdr:rowOff>123825</xdr:rowOff>
    </xdr:to>
    <xdr:sp macro="" textlink="">
      <xdr:nvSpPr>
        <xdr:cNvPr id="32" name="Line 31"/>
        <xdr:cNvSpPr>
          <a:spLocks noChangeShapeType="1"/>
        </xdr:cNvSpPr>
      </xdr:nvSpPr>
      <xdr:spPr bwMode="auto">
        <a:xfrm>
          <a:off x="55845075" y="18449925"/>
          <a:ext cx="190500" cy="47625"/>
        </a:xfrm>
        <a:prstGeom prst="line">
          <a:avLst/>
        </a:prstGeom>
        <a:noFill/>
        <a:ln w="9525">
          <a:solidFill>
            <a:srgbClr val="000000"/>
          </a:solidFill>
          <a:round/>
          <a:headEnd/>
          <a:tailEnd/>
        </a:ln>
      </xdr:spPr>
    </xdr:sp>
    <xdr:clientData/>
  </xdr:twoCellAnchor>
  <xdr:twoCellAnchor>
    <xdr:from>
      <xdr:col>2</xdr:col>
      <xdr:colOff>485775</xdr:colOff>
      <xdr:row>16</xdr:row>
      <xdr:rowOff>85725</xdr:rowOff>
    </xdr:from>
    <xdr:to>
      <xdr:col>6</xdr:col>
      <xdr:colOff>323850</xdr:colOff>
      <xdr:row>17</xdr:row>
      <xdr:rowOff>19050</xdr:rowOff>
    </xdr:to>
    <xdr:sp macro="" textlink="">
      <xdr:nvSpPr>
        <xdr:cNvPr id="33" name="Rectangle 32"/>
        <xdr:cNvSpPr>
          <a:spLocks noChangeArrowheads="1"/>
        </xdr:cNvSpPr>
      </xdr:nvSpPr>
      <xdr:spPr bwMode="auto">
        <a:xfrm>
          <a:off x="1495425" y="2705100"/>
          <a:ext cx="2476500" cy="95250"/>
        </a:xfrm>
        <a:prstGeom prst="rect">
          <a:avLst/>
        </a:prstGeom>
        <a:noFill/>
        <a:ln w="9525">
          <a:solidFill>
            <a:srgbClr val="000000"/>
          </a:solidFill>
          <a:miter lim="800000"/>
          <a:headEnd/>
          <a:tailEnd/>
        </a:ln>
      </xdr:spPr>
    </xdr:sp>
    <xdr:clientData/>
  </xdr:twoCellAnchor>
  <xdr:twoCellAnchor>
    <xdr:from>
      <xdr:col>2</xdr:col>
      <xdr:colOff>466725</xdr:colOff>
      <xdr:row>15</xdr:row>
      <xdr:rowOff>76200</xdr:rowOff>
    </xdr:from>
    <xdr:to>
      <xdr:col>2</xdr:col>
      <xdr:colOff>466725</xdr:colOff>
      <xdr:row>16</xdr:row>
      <xdr:rowOff>47625</xdr:rowOff>
    </xdr:to>
    <xdr:sp macro="" textlink="">
      <xdr:nvSpPr>
        <xdr:cNvPr id="34" name="Line 33"/>
        <xdr:cNvSpPr>
          <a:spLocks noChangeShapeType="1"/>
        </xdr:cNvSpPr>
      </xdr:nvSpPr>
      <xdr:spPr bwMode="auto">
        <a:xfrm>
          <a:off x="1476375" y="2533650"/>
          <a:ext cx="0" cy="133350"/>
        </a:xfrm>
        <a:prstGeom prst="line">
          <a:avLst/>
        </a:prstGeom>
        <a:noFill/>
        <a:ln w="9525">
          <a:solidFill>
            <a:srgbClr val="000000"/>
          </a:solidFill>
          <a:round/>
          <a:headEnd/>
          <a:tailEnd/>
        </a:ln>
      </xdr:spPr>
    </xdr:sp>
    <xdr:clientData/>
  </xdr:twoCellAnchor>
  <xdr:twoCellAnchor>
    <xdr:from>
      <xdr:col>2</xdr:col>
      <xdr:colOff>476250</xdr:colOff>
      <xdr:row>15</xdr:row>
      <xdr:rowOff>142875</xdr:rowOff>
    </xdr:from>
    <xdr:to>
      <xdr:col>4</xdr:col>
      <xdr:colOff>285750</xdr:colOff>
      <xdr:row>15</xdr:row>
      <xdr:rowOff>142875</xdr:rowOff>
    </xdr:to>
    <xdr:sp macro="" textlink="">
      <xdr:nvSpPr>
        <xdr:cNvPr id="35" name="Line 34"/>
        <xdr:cNvSpPr>
          <a:spLocks noChangeShapeType="1"/>
        </xdr:cNvSpPr>
      </xdr:nvSpPr>
      <xdr:spPr bwMode="auto">
        <a:xfrm>
          <a:off x="1485900" y="2600325"/>
          <a:ext cx="1019175" cy="0"/>
        </a:xfrm>
        <a:prstGeom prst="line">
          <a:avLst/>
        </a:prstGeom>
        <a:noFill/>
        <a:ln w="9525">
          <a:solidFill>
            <a:srgbClr val="000000"/>
          </a:solidFill>
          <a:round/>
          <a:headEnd/>
          <a:tailEnd/>
        </a:ln>
      </xdr:spPr>
    </xdr:sp>
    <xdr:clientData/>
  </xdr:twoCellAnchor>
  <xdr:twoCellAnchor>
    <xdr:from>
      <xdr:col>4</xdr:col>
      <xdr:colOff>552450</xdr:colOff>
      <xdr:row>15</xdr:row>
      <xdr:rowOff>142875</xdr:rowOff>
    </xdr:from>
    <xdr:to>
      <xdr:col>6</xdr:col>
      <xdr:colOff>323850</xdr:colOff>
      <xdr:row>15</xdr:row>
      <xdr:rowOff>142875</xdr:rowOff>
    </xdr:to>
    <xdr:sp macro="" textlink="">
      <xdr:nvSpPr>
        <xdr:cNvPr id="36" name="Line 35"/>
        <xdr:cNvSpPr>
          <a:spLocks noChangeShapeType="1"/>
        </xdr:cNvSpPr>
      </xdr:nvSpPr>
      <xdr:spPr bwMode="auto">
        <a:xfrm>
          <a:off x="2771775" y="2600325"/>
          <a:ext cx="1200150" cy="0"/>
        </a:xfrm>
        <a:prstGeom prst="line">
          <a:avLst/>
        </a:prstGeom>
        <a:noFill/>
        <a:ln w="9525">
          <a:solidFill>
            <a:srgbClr val="000000"/>
          </a:solidFill>
          <a:round/>
          <a:headEnd/>
          <a:tailEnd/>
        </a:ln>
      </xdr:spPr>
    </xdr:sp>
    <xdr:clientData/>
  </xdr:twoCellAnchor>
  <xdr:twoCellAnchor>
    <xdr:from>
      <xdr:col>44</xdr:col>
      <xdr:colOff>257175</xdr:colOff>
      <xdr:row>15</xdr:row>
      <xdr:rowOff>114300</xdr:rowOff>
    </xdr:from>
    <xdr:to>
      <xdr:col>44</xdr:col>
      <xdr:colOff>266700</xdr:colOff>
      <xdr:row>16</xdr:row>
      <xdr:rowOff>57150</xdr:rowOff>
    </xdr:to>
    <xdr:sp macro="" textlink="">
      <xdr:nvSpPr>
        <xdr:cNvPr id="37" name="Line 36"/>
        <xdr:cNvSpPr>
          <a:spLocks noChangeShapeType="1"/>
        </xdr:cNvSpPr>
      </xdr:nvSpPr>
      <xdr:spPr bwMode="auto">
        <a:xfrm>
          <a:off x="27279600" y="2571750"/>
          <a:ext cx="9525" cy="104775"/>
        </a:xfrm>
        <a:prstGeom prst="line">
          <a:avLst/>
        </a:prstGeom>
        <a:noFill/>
        <a:ln w="9525">
          <a:solidFill>
            <a:srgbClr val="000000"/>
          </a:solidFill>
          <a:round/>
          <a:headEnd/>
          <a:tailEnd/>
        </a:ln>
      </xdr:spPr>
    </xdr:sp>
    <xdr:clientData/>
  </xdr:twoCellAnchor>
  <xdr:twoCellAnchor>
    <xdr:from>
      <xdr:col>6</xdr:col>
      <xdr:colOff>323850</xdr:colOff>
      <xdr:row>15</xdr:row>
      <xdr:rowOff>104775</xdr:rowOff>
    </xdr:from>
    <xdr:to>
      <xdr:col>6</xdr:col>
      <xdr:colOff>323850</xdr:colOff>
      <xdr:row>16</xdr:row>
      <xdr:rowOff>38100</xdr:rowOff>
    </xdr:to>
    <xdr:sp macro="" textlink="">
      <xdr:nvSpPr>
        <xdr:cNvPr id="38" name="Line 37"/>
        <xdr:cNvSpPr>
          <a:spLocks noChangeShapeType="1"/>
        </xdr:cNvSpPr>
      </xdr:nvSpPr>
      <xdr:spPr bwMode="auto">
        <a:xfrm>
          <a:off x="3971925" y="2562225"/>
          <a:ext cx="0" cy="95250"/>
        </a:xfrm>
        <a:prstGeom prst="line">
          <a:avLst/>
        </a:prstGeom>
        <a:noFill/>
        <a:ln w="9525">
          <a:solidFill>
            <a:srgbClr val="000000"/>
          </a:solidFill>
          <a:round/>
          <a:headEnd/>
          <a:tailEnd/>
        </a:ln>
      </xdr:spPr>
    </xdr:sp>
    <xdr:clientData/>
  </xdr:twoCellAnchor>
  <xdr:twoCellAnchor>
    <xdr:from>
      <xdr:col>7</xdr:col>
      <xdr:colOff>600075</xdr:colOff>
      <xdr:row>24</xdr:row>
      <xdr:rowOff>152400</xdr:rowOff>
    </xdr:from>
    <xdr:to>
      <xdr:col>7</xdr:col>
      <xdr:colOff>600075</xdr:colOff>
      <xdr:row>25</xdr:row>
      <xdr:rowOff>133350</xdr:rowOff>
    </xdr:to>
    <xdr:sp macro="" textlink="">
      <xdr:nvSpPr>
        <xdr:cNvPr id="39" name="Line 45"/>
        <xdr:cNvSpPr>
          <a:spLocks noChangeShapeType="1"/>
        </xdr:cNvSpPr>
      </xdr:nvSpPr>
      <xdr:spPr bwMode="auto">
        <a:xfrm flipV="1">
          <a:off x="4867275" y="4067175"/>
          <a:ext cx="0" cy="142875"/>
        </a:xfrm>
        <a:prstGeom prst="line">
          <a:avLst/>
        </a:prstGeom>
        <a:noFill/>
        <a:ln w="9525">
          <a:solidFill>
            <a:srgbClr val="000000"/>
          </a:solidFill>
          <a:round/>
          <a:headEnd/>
          <a:tailEnd type="triangle" w="med" len="med"/>
        </a:ln>
      </xdr:spPr>
    </xdr:sp>
    <xdr:clientData/>
  </xdr:twoCellAnchor>
  <xdr:twoCellAnchor>
    <xdr:from>
      <xdr:col>8</xdr:col>
      <xdr:colOff>0</xdr:colOff>
      <xdr:row>26</xdr:row>
      <xdr:rowOff>47625</xdr:rowOff>
    </xdr:from>
    <xdr:to>
      <xdr:col>8</xdr:col>
      <xdr:colOff>0</xdr:colOff>
      <xdr:row>27</xdr:row>
      <xdr:rowOff>9525</xdr:rowOff>
    </xdr:to>
    <xdr:sp macro="" textlink="">
      <xdr:nvSpPr>
        <xdr:cNvPr id="40" name="Line 46"/>
        <xdr:cNvSpPr>
          <a:spLocks noChangeShapeType="1"/>
        </xdr:cNvSpPr>
      </xdr:nvSpPr>
      <xdr:spPr bwMode="auto">
        <a:xfrm>
          <a:off x="4943475" y="4286250"/>
          <a:ext cx="0" cy="123825"/>
        </a:xfrm>
        <a:prstGeom prst="line">
          <a:avLst/>
        </a:prstGeom>
        <a:noFill/>
        <a:ln w="9525">
          <a:solidFill>
            <a:srgbClr val="000000"/>
          </a:solidFill>
          <a:round/>
          <a:headEnd/>
          <a:tailEnd type="triangle" w="med" len="med"/>
        </a:ln>
      </xdr:spPr>
    </xdr:sp>
    <xdr:clientData/>
  </xdr:twoCellAnchor>
  <xdr:twoCellAnchor>
    <xdr:from>
      <xdr:col>7</xdr:col>
      <xdr:colOff>419100</xdr:colOff>
      <xdr:row>25</xdr:row>
      <xdr:rowOff>9525</xdr:rowOff>
    </xdr:from>
    <xdr:to>
      <xdr:col>8</xdr:col>
      <xdr:colOff>381000</xdr:colOff>
      <xdr:row>25</xdr:row>
      <xdr:rowOff>9525</xdr:rowOff>
    </xdr:to>
    <xdr:sp macro="" textlink="">
      <xdr:nvSpPr>
        <xdr:cNvPr id="41" name="Line 47"/>
        <xdr:cNvSpPr>
          <a:spLocks noChangeShapeType="1"/>
        </xdr:cNvSpPr>
      </xdr:nvSpPr>
      <xdr:spPr bwMode="auto">
        <a:xfrm>
          <a:off x="4686300" y="4086225"/>
          <a:ext cx="638175" cy="0"/>
        </a:xfrm>
        <a:prstGeom prst="line">
          <a:avLst/>
        </a:prstGeom>
        <a:noFill/>
        <a:ln w="9525">
          <a:solidFill>
            <a:srgbClr val="000000"/>
          </a:solidFill>
          <a:round/>
          <a:headEnd/>
          <a:tailEnd/>
        </a:ln>
      </xdr:spPr>
    </xdr:sp>
    <xdr:clientData/>
  </xdr:twoCellAnchor>
  <xdr:twoCellAnchor>
    <xdr:from>
      <xdr:col>7</xdr:col>
      <xdr:colOff>304800</xdr:colOff>
      <xdr:row>25</xdr:row>
      <xdr:rowOff>9525</xdr:rowOff>
    </xdr:from>
    <xdr:to>
      <xdr:col>7</xdr:col>
      <xdr:colOff>523875</xdr:colOff>
      <xdr:row>26</xdr:row>
      <xdr:rowOff>0</xdr:rowOff>
    </xdr:to>
    <xdr:sp macro="" textlink="">
      <xdr:nvSpPr>
        <xdr:cNvPr id="42" name="Line 48"/>
        <xdr:cNvSpPr>
          <a:spLocks noChangeShapeType="1"/>
        </xdr:cNvSpPr>
      </xdr:nvSpPr>
      <xdr:spPr bwMode="auto">
        <a:xfrm flipV="1">
          <a:off x="4572000" y="4086225"/>
          <a:ext cx="219075" cy="152400"/>
        </a:xfrm>
        <a:prstGeom prst="line">
          <a:avLst/>
        </a:prstGeom>
        <a:noFill/>
        <a:ln w="9525">
          <a:solidFill>
            <a:srgbClr val="000000"/>
          </a:solidFill>
          <a:round/>
          <a:headEnd/>
          <a:tailEnd/>
        </a:ln>
      </xdr:spPr>
    </xdr:sp>
    <xdr:clientData/>
  </xdr:twoCellAnchor>
  <xdr:twoCellAnchor>
    <xdr:from>
      <xdr:col>7</xdr:col>
      <xdr:colOff>371475</xdr:colOff>
      <xdr:row>25</xdr:row>
      <xdr:rowOff>28575</xdr:rowOff>
    </xdr:from>
    <xdr:to>
      <xdr:col>7</xdr:col>
      <xdr:colOff>590550</xdr:colOff>
      <xdr:row>26</xdr:row>
      <xdr:rowOff>9525</xdr:rowOff>
    </xdr:to>
    <xdr:sp macro="" textlink="">
      <xdr:nvSpPr>
        <xdr:cNvPr id="43" name="Line 49"/>
        <xdr:cNvSpPr>
          <a:spLocks noChangeShapeType="1"/>
        </xdr:cNvSpPr>
      </xdr:nvSpPr>
      <xdr:spPr bwMode="auto">
        <a:xfrm flipV="1">
          <a:off x="4638675" y="4105275"/>
          <a:ext cx="219075" cy="142875"/>
        </a:xfrm>
        <a:prstGeom prst="line">
          <a:avLst/>
        </a:prstGeom>
        <a:noFill/>
        <a:ln w="9525">
          <a:solidFill>
            <a:srgbClr val="000000"/>
          </a:solidFill>
          <a:round/>
          <a:headEnd/>
          <a:tailEnd/>
        </a:ln>
      </xdr:spPr>
    </xdr:sp>
    <xdr:clientData/>
  </xdr:twoCellAnchor>
  <xdr:twoCellAnchor>
    <xdr:from>
      <xdr:col>8</xdr:col>
      <xdr:colOff>0</xdr:colOff>
      <xdr:row>25</xdr:row>
      <xdr:rowOff>28575</xdr:rowOff>
    </xdr:from>
    <xdr:to>
      <xdr:col>8</xdr:col>
      <xdr:colOff>171450</xdr:colOff>
      <xdr:row>26</xdr:row>
      <xdr:rowOff>0</xdr:rowOff>
    </xdr:to>
    <xdr:sp macro="" textlink="">
      <xdr:nvSpPr>
        <xdr:cNvPr id="44" name="Line 50"/>
        <xdr:cNvSpPr>
          <a:spLocks noChangeShapeType="1"/>
        </xdr:cNvSpPr>
      </xdr:nvSpPr>
      <xdr:spPr bwMode="auto">
        <a:xfrm>
          <a:off x="4943475" y="4105275"/>
          <a:ext cx="171450" cy="133350"/>
        </a:xfrm>
        <a:prstGeom prst="line">
          <a:avLst/>
        </a:prstGeom>
        <a:noFill/>
        <a:ln w="9525">
          <a:solidFill>
            <a:srgbClr val="000000"/>
          </a:solidFill>
          <a:round/>
          <a:headEnd/>
          <a:tailEnd/>
        </a:ln>
      </xdr:spPr>
    </xdr:sp>
    <xdr:clientData/>
  </xdr:twoCellAnchor>
  <xdr:twoCellAnchor>
    <xdr:from>
      <xdr:col>8</xdr:col>
      <xdr:colOff>66675</xdr:colOff>
      <xdr:row>25</xdr:row>
      <xdr:rowOff>9525</xdr:rowOff>
    </xdr:from>
    <xdr:to>
      <xdr:col>8</xdr:col>
      <xdr:colOff>247650</xdr:colOff>
      <xdr:row>25</xdr:row>
      <xdr:rowOff>152400</xdr:rowOff>
    </xdr:to>
    <xdr:sp macro="" textlink="">
      <xdr:nvSpPr>
        <xdr:cNvPr id="45" name="Line 51"/>
        <xdr:cNvSpPr>
          <a:spLocks noChangeShapeType="1"/>
        </xdr:cNvSpPr>
      </xdr:nvSpPr>
      <xdr:spPr bwMode="auto">
        <a:xfrm>
          <a:off x="5010150" y="4086225"/>
          <a:ext cx="180975" cy="142875"/>
        </a:xfrm>
        <a:prstGeom prst="line">
          <a:avLst/>
        </a:prstGeom>
        <a:noFill/>
        <a:ln w="9525">
          <a:solidFill>
            <a:srgbClr val="000000"/>
          </a:solidFill>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85725</xdr:colOff>
      <xdr:row>7</xdr:row>
      <xdr:rowOff>57150</xdr:rowOff>
    </xdr:from>
    <xdr:to>
      <xdr:col>4</xdr:col>
      <xdr:colOff>381000</xdr:colOff>
      <xdr:row>11</xdr:row>
      <xdr:rowOff>0</xdr:rowOff>
    </xdr:to>
    <xdr:sp macro="" textlink="">
      <xdr:nvSpPr>
        <xdr:cNvPr id="2" name="Arc 1"/>
        <xdr:cNvSpPr>
          <a:spLocks/>
        </xdr:cNvSpPr>
      </xdr:nvSpPr>
      <xdr:spPr bwMode="auto">
        <a:xfrm flipH="1">
          <a:off x="1676400" y="1219200"/>
          <a:ext cx="904875" cy="59055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solidFill>
          <a:srgbClr val="FFFFFF"/>
        </a:solidFill>
        <a:ln w="9525">
          <a:solidFill>
            <a:srgbClr val="000000"/>
          </a:solidFill>
          <a:round/>
          <a:headEnd/>
          <a:tailEnd/>
        </a:ln>
      </xdr:spPr>
    </xdr:sp>
    <xdr:clientData/>
  </xdr:twoCellAnchor>
  <xdr:twoCellAnchor>
    <xdr:from>
      <xdr:col>3</xdr:col>
      <xdr:colOff>9525</xdr:colOff>
      <xdr:row>12</xdr:row>
      <xdr:rowOff>19050</xdr:rowOff>
    </xdr:from>
    <xdr:to>
      <xdr:col>3</xdr:col>
      <xdr:colOff>171450</xdr:colOff>
      <xdr:row>22</xdr:row>
      <xdr:rowOff>0</xdr:rowOff>
    </xdr:to>
    <xdr:sp macro="" textlink="">
      <xdr:nvSpPr>
        <xdr:cNvPr id="3" name="Rectangle 2"/>
        <xdr:cNvSpPr>
          <a:spLocks noChangeArrowheads="1"/>
        </xdr:cNvSpPr>
      </xdr:nvSpPr>
      <xdr:spPr bwMode="auto">
        <a:xfrm>
          <a:off x="1600200" y="1990725"/>
          <a:ext cx="161925" cy="1600200"/>
        </a:xfrm>
        <a:prstGeom prst="rect">
          <a:avLst/>
        </a:prstGeom>
        <a:noFill/>
        <a:ln w="9525">
          <a:solidFill>
            <a:srgbClr val="000000"/>
          </a:solidFill>
          <a:miter lim="800000"/>
          <a:headEnd/>
          <a:tailEnd/>
        </a:ln>
      </xdr:spPr>
    </xdr:sp>
    <xdr:clientData/>
  </xdr:twoCellAnchor>
  <xdr:twoCellAnchor>
    <xdr:from>
      <xdr:col>6</xdr:col>
      <xdr:colOff>9525</xdr:colOff>
      <xdr:row>12</xdr:row>
      <xdr:rowOff>19050</xdr:rowOff>
    </xdr:from>
    <xdr:to>
      <xdr:col>6</xdr:col>
      <xdr:colOff>171450</xdr:colOff>
      <xdr:row>22</xdr:row>
      <xdr:rowOff>0</xdr:rowOff>
    </xdr:to>
    <xdr:sp macro="" textlink="">
      <xdr:nvSpPr>
        <xdr:cNvPr id="4" name="Rectangle 3"/>
        <xdr:cNvSpPr>
          <a:spLocks noChangeArrowheads="1"/>
        </xdr:cNvSpPr>
      </xdr:nvSpPr>
      <xdr:spPr bwMode="auto">
        <a:xfrm>
          <a:off x="3505200" y="1990725"/>
          <a:ext cx="161925" cy="1600200"/>
        </a:xfrm>
        <a:prstGeom prst="rect">
          <a:avLst/>
        </a:prstGeom>
        <a:noFill/>
        <a:ln w="9525">
          <a:solidFill>
            <a:srgbClr val="000000"/>
          </a:solidFill>
          <a:miter lim="800000"/>
          <a:headEnd/>
          <a:tailEnd/>
        </a:ln>
      </xdr:spPr>
    </xdr:sp>
    <xdr:clientData/>
  </xdr:twoCellAnchor>
  <xdr:twoCellAnchor>
    <xdr:from>
      <xdr:col>2</xdr:col>
      <xdr:colOff>333375</xdr:colOff>
      <xdr:row>22</xdr:row>
      <xdr:rowOff>0</xdr:rowOff>
    </xdr:from>
    <xdr:to>
      <xdr:col>6</xdr:col>
      <xdr:colOff>447675</xdr:colOff>
      <xdr:row>23</xdr:row>
      <xdr:rowOff>0</xdr:rowOff>
    </xdr:to>
    <xdr:sp macro="" textlink="">
      <xdr:nvSpPr>
        <xdr:cNvPr id="5" name="Rectangle 4"/>
        <xdr:cNvSpPr>
          <a:spLocks noChangeArrowheads="1"/>
        </xdr:cNvSpPr>
      </xdr:nvSpPr>
      <xdr:spPr bwMode="auto">
        <a:xfrm>
          <a:off x="1323975" y="3590925"/>
          <a:ext cx="2619375" cy="161925"/>
        </a:xfrm>
        <a:prstGeom prst="rect">
          <a:avLst/>
        </a:prstGeom>
        <a:noFill/>
        <a:ln w="9525">
          <a:solidFill>
            <a:srgbClr val="000000"/>
          </a:solidFill>
          <a:miter lim="800000"/>
          <a:headEnd/>
          <a:tailEnd/>
        </a:ln>
      </xdr:spPr>
    </xdr:sp>
    <xdr:clientData/>
  </xdr:twoCellAnchor>
  <xdr:twoCellAnchor>
    <xdr:from>
      <xdr:col>2</xdr:col>
      <xdr:colOff>333375</xdr:colOff>
      <xdr:row>23</xdr:row>
      <xdr:rowOff>9525</xdr:rowOff>
    </xdr:from>
    <xdr:to>
      <xdr:col>6</xdr:col>
      <xdr:colOff>447675</xdr:colOff>
      <xdr:row>23</xdr:row>
      <xdr:rowOff>95250</xdr:rowOff>
    </xdr:to>
    <xdr:sp macro="" textlink="">
      <xdr:nvSpPr>
        <xdr:cNvPr id="6" name="Rectangle 5"/>
        <xdr:cNvSpPr>
          <a:spLocks noChangeArrowheads="1"/>
        </xdr:cNvSpPr>
      </xdr:nvSpPr>
      <xdr:spPr bwMode="auto">
        <a:xfrm>
          <a:off x="1323975" y="3762375"/>
          <a:ext cx="2619375" cy="85725"/>
        </a:xfrm>
        <a:prstGeom prst="rect">
          <a:avLst/>
        </a:prstGeom>
        <a:noFill/>
        <a:ln w="9525">
          <a:solidFill>
            <a:srgbClr val="000000"/>
          </a:solidFill>
          <a:miter lim="800000"/>
          <a:headEnd/>
          <a:tailEnd/>
        </a:ln>
      </xdr:spPr>
    </xdr:sp>
    <xdr:clientData/>
  </xdr:twoCellAnchor>
  <xdr:twoCellAnchor>
    <xdr:from>
      <xdr:col>2</xdr:col>
      <xdr:colOff>342900</xdr:colOff>
      <xdr:row>23</xdr:row>
      <xdr:rowOff>104775</xdr:rowOff>
    </xdr:from>
    <xdr:to>
      <xdr:col>6</xdr:col>
      <xdr:colOff>447675</xdr:colOff>
      <xdr:row>24</xdr:row>
      <xdr:rowOff>38100</xdr:rowOff>
    </xdr:to>
    <xdr:sp macro="" textlink="">
      <xdr:nvSpPr>
        <xdr:cNvPr id="7" name="Rectangle 6"/>
        <xdr:cNvSpPr>
          <a:spLocks noChangeArrowheads="1"/>
        </xdr:cNvSpPr>
      </xdr:nvSpPr>
      <xdr:spPr bwMode="auto">
        <a:xfrm>
          <a:off x="1333500" y="3857625"/>
          <a:ext cx="2609850" cy="95250"/>
        </a:xfrm>
        <a:prstGeom prst="rect">
          <a:avLst/>
        </a:prstGeom>
        <a:noFill/>
        <a:ln w="9525">
          <a:solidFill>
            <a:srgbClr val="000000"/>
          </a:solidFill>
          <a:miter lim="800000"/>
          <a:headEnd/>
          <a:tailEnd/>
        </a:ln>
      </xdr:spPr>
    </xdr:sp>
    <xdr:clientData/>
  </xdr:twoCellAnchor>
  <xdr:twoCellAnchor>
    <xdr:from>
      <xdr:col>2</xdr:col>
      <xdr:colOff>485775</xdr:colOff>
      <xdr:row>10</xdr:row>
      <xdr:rowOff>152400</xdr:rowOff>
    </xdr:from>
    <xdr:to>
      <xdr:col>3</xdr:col>
      <xdr:colOff>171450</xdr:colOff>
      <xdr:row>12</xdr:row>
      <xdr:rowOff>9525</xdr:rowOff>
    </xdr:to>
    <xdr:sp macro="" textlink="">
      <xdr:nvSpPr>
        <xdr:cNvPr id="8" name="Rectangle 7"/>
        <xdr:cNvSpPr>
          <a:spLocks noChangeArrowheads="1"/>
        </xdr:cNvSpPr>
      </xdr:nvSpPr>
      <xdr:spPr bwMode="auto">
        <a:xfrm>
          <a:off x="1476375" y="1800225"/>
          <a:ext cx="285750" cy="180975"/>
        </a:xfrm>
        <a:prstGeom prst="rect">
          <a:avLst/>
        </a:prstGeom>
        <a:noFill/>
        <a:ln w="9525">
          <a:solidFill>
            <a:srgbClr val="000000"/>
          </a:solidFill>
          <a:miter lim="800000"/>
          <a:headEnd/>
          <a:tailEnd/>
        </a:ln>
      </xdr:spPr>
    </xdr:sp>
    <xdr:clientData/>
  </xdr:twoCellAnchor>
  <xdr:twoCellAnchor>
    <xdr:from>
      <xdr:col>6</xdr:col>
      <xdr:colOff>9525</xdr:colOff>
      <xdr:row>10</xdr:row>
      <xdr:rowOff>142875</xdr:rowOff>
    </xdr:from>
    <xdr:to>
      <xdr:col>6</xdr:col>
      <xdr:colOff>285750</xdr:colOff>
      <xdr:row>12</xdr:row>
      <xdr:rowOff>9525</xdr:rowOff>
    </xdr:to>
    <xdr:sp macro="" textlink="">
      <xdr:nvSpPr>
        <xdr:cNvPr id="9" name="Rectangle 8"/>
        <xdr:cNvSpPr>
          <a:spLocks noChangeArrowheads="1"/>
        </xdr:cNvSpPr>
      </xdr:nvSpPr>
      <xdr:spPr bwMode="auto">
        <a:xfrm>
          <a:off x="3505200" y="1790700"/>
          <a:ext cx="276225" cy="190500"/>
        </a:xfrm>
        <a:prstGeom prst="rect">
          <a:avLst/>
        </a:prstGeom>
        <a:noFill/>
        <a:ln w="9525">
          <a:solidFill>
            <a:srgbClr val="000000"/>
          </a:solidFill>
          <a:miter lim="800000"/>
          <a:headEnd/>
          <a:tailEnd/>
        </a:ln>
      </xdr:spPr>
    </xdr:sp>
    <xdr:clientData/>
  </xdr:twoCellAnchor>
  <xdr:twoCellAnchor>
    <xdr:from>
      <xdr:col>3</xdr:col>
      <xdr:colOff>0</xdr:colOff>
      <xdr:row>10</xdr:row>
      <xdr:rowOff>142875</xdr:rowOff>
    </xdr:from>
    <xdr:to>
      <xdr:col>3</xdr:col>
      <xdr:colOff>0</xdr:colOff>
      <xdr:row>10</xdr:row>
      <xdr:rowOff>152400</xdr:rowOff>
    </xdr:to>
    <xdr:sp macro="" textlink="">
      <xdr:nvSpPr>
        <xdr:cNvPr id="10" name="Arc 9"/>
        <xdr:cNvSpPr>
          <a:spLocks/>
        </xdr:cNvSpPr>
      </xdr:nvSpPr>
      <xdr:spPr bwMode="auto">
        <a:xfrm>
          <a:off x="1590675" y="1790700"/>
          <a:ext cx="0" cy="952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4</xdr:col>
      <xdr:colOff>276225</xdr:colOff>
      <xdr:row>7</xdr:row>
      <xdr:rowOff>152400</xdr:rowOff>
    </xdr:from>
    <xdr:to>
      <xdr:col>6</xdr:col>
      <xdr:colOff>19050</xdr:colOff>
      <xdr:row>10</xdr:row>
      <xdr:rowOff>142875</xdr:rowOff>
    </xdr:to>
    <xdr:sp macro="" textlink="">
      <xdr:nvSpPr>
        <xdr:cNvPr id="11" name="Arc 10"/>
        <xdr:cNvSpPr>
          <a:spLocks/>
        </xdr:cNvSpPr>
      </xdr:nvSpPr>
      <xdr:spPr bwMode="auto">
        <a:xfrm>
          <a:off x="2476500" y="1314450"/>
          <a:ext cx="1038225" cy="47625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171450</xdr:colOff>
      <xdr:row>7</xdr:row>
      <xdr:rowOff>152400</xdr:rowOff>
    </xdr:from>
    <xdr:to>
      <xdr:col>4</xdr:col>
      <xdr:colOff>409575</xdr:colOff>
      <xdr:row>11</xdr:row>
      <xdr:rowOff>28575</xdr:rowOff>
    </xdr:to>
    <xdr:sp macro="" textlink="">
      <xdr:nvSpPr>
        <xdr:cNvPr id="12" name="Arc 11"/>
        <xdr:cNvSpPr>
          <a:spLocks/>
        </xdr:cNvSpPr>
      </xdr:nvSpPr>
      <xdr:spPr bwMode="auto">
        <a:xfrm flipH="1">
          <a:off x="1762125" y="1314450"/>
          <a:ext cx="847725" cy="5238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4</xdr:col>
      <xdr:colOff>276225</xdr:colOff>
      <xdr:row>7</xdr:row>
      <xdr:rowOff>66675</xdr:rowOff>
    </xdr:from>
    <xdr:to>
      <xdr:col>6</xdr:col>
      <xdr:colOff>114300</xdr:colOff>
      <xdr:row>10</xdr:row>
      <xdr:rowOff>142875</xdr:rowOff>
    </xdr:to>
    <xdr:sp macro="" textlink="">
      <xdr:nvSpPr>
        <xdr:cNvPr id="13" name="Arc 12"/>
        <xdr:cNvSpPr>
          <a:spLocks/>
        </xdr:cNvSpPr>
      </xdr:nvSpPr>
      <xdr:spPr bwMode="auto">
        <a:xfrm>
          <a:off x="2476500" y="1228725"/>
          <a:ext cx="1133475" cy="5619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val="000000"/>
          </a:solidFill>
          <a:round/>
          <a:headEnd/>
          <a:tailEnd/>
        </a:ln>
      </xdr:spPr>
    </xdr:sp>
    <xdr:clientData/>
  </xdr:twoCellAnchor>
  <xdr:twoCellAnchor>
    <xdr:from>
      <xdr:col>3</xdr:col>
      <xdr:colOff>180975</xdr:colOff>
      <xdr:row>11</xdr:row>
      <xdr:rowOff>0</xdr:rowOff>
    </xdr:from>
    <xdr:to>
      <xdr:col>6</xdr:col>
      <xdr:colOff>9525</xdr:colOff>
      <xdr:row>12</xdr:row>
      <xdr:rowOff>19050</xdr:rowOff>
    </xdr:to>
    <xdr:sp macro="" textlink="">
      <xdr:nvSpPr>
        <xdr:cNvPr id="14" name="Rectangle 13"/>
        <xdr:cNvSpPr>
          <a:spLocks noChangeArrowheads="1"/>
        </xdr:cNvSpPr>
      </xdr:nvSpPr>
      <xdr:spPr bwMode="auto">
        <a:xfrm>
          <a:off x="1771650" y="1809750"/>
          <a:ext cx="1733550" cy="180975"/>
        </a:xfrm>
        <a:prstGeom prst="rect">
          <a:avLst/>
        </a:prstGeom>
        <a:noFill/>
        <a:ln w="9525">
          <a:solidFill>
            <a:srgbClr val="000000"/>
          </a:solidFill>
          <a:miter lim="800000"/>
          <a:headEnd/>
          <a:tailEnd/>
        </a:ln>
      </xdr:spPr>
    </xdr:sp>
    <xdr:clientData/>
  </xdr:twoCellAnchor>
  <xdr:twoCellAnchor>
    <xdr:from>
      <xdr:col>4</xdr:col>
      <xdr:colOff>323850</xdr:colOff>
      <xdr:row>7</xdr:row>
      <xdr:rowOff>152400</xdr:rowOff>
    </xdr:from>
    <xdr:to>
      <xdr:col>4</xdr:col>
      <xdr:colOff>323850</xdr:colOff>
      <xdr:row>11</xdr:row>
      <xdr:rowOff>0</xdr:rowOff>
    </xdr:to>
    <xdr:sp macro="" textlink="">
      <xdr:nvSpPr>
        <xdr:cNvPr id="15" name="Line 14"/>
        <xdr:cNvSpPr>
          <a:spLocks noChangeShapeType="1"/>
        </xdr:cNvSpPr>
      </xdr:nvSpPr>
      <xdr:spPr bwMode="auto">
        <a:xfrm>
          <a:off x="2524125" y="1314450"/>
          <a:ext cx="0" cy="495300"/>
        </a:xfrm>
        <a:prstGeom prst="line">
          <a:avLst/>
        </a:prstGeom>
        <a:noFill/>
        <a:ln w="9525">
          <a:solidFill>
            <a:srgbClr val="000000"/>
          </a:solidFill>
          <a:round/>
          <a:headEnd/>
          <a:tailEnd/>
        </a:ln>
      </xdr:spPr>
    </xdr:sp>
    <xdr:clientData/>
  </xdr:twoCellAnchor>
  <xdr:twoCellAnchor>
    <xdr:from>
      <xdr:col>4</xdr:col>
      <xdr:colOff>342900</xdr:colOff>
      <xdr:row>11</xdr:row>
      <xdr:rowOff>19050</xdr:rowOff>
    </xdr:from>
    <xdr:to>
      <xdr:col>5</xdr:col>
      <xdr:colOff>590550</xdr:colOff>
      <xdr:row>16</xdr:row>
      <xdr:rowOff>66675</xdr:rowOff>
    </xdr:to>
    <xdr:sp macro="" textlink="">
      <xdr:nvSpPr>
        <xdr:cNvPr id="16" name="Line 15"/>
        <xdr:cNvSpPr>
          <a:spLocks noChangeShapeType="1"/>
        </xdr:cNvSpPr>
      </xdr:nvSpPr>
      <xdr:spPr bwMode="auto">
        <a:xfrm flipH="1">
          <a:off x="2543175" y="1828800"/>
          <a:ext cx="933450" cy="857250"/>
        </a:xfrm>
        <a:prstGeom prst="line">
          <a:avLst/>
        </a:prstGeom>
        <a:noFill/>
        <a:ln w="9525">
          <a:solidFill>
            <a:srgbClr val="000000"/>
          </a:solidFill>
          <a:round/>
          <a:headEnd/>
          <a:tailEnd/>
        </a:ln>
      </xdr:spPr>
    </xdr:sp>
    <xdr:clientData/>
  </xdr:twoCellAnchor>
  <xdr:twoCellAnchor>
    <xdr:from>
      <xdr:col>3</xdr:col>
      <xdr:colOff>171450</xdr:colOff>
      <xdr:row>18</xdr:row>
      <xdr:rowOff>95250</xdr:rowOff>
    </xdr:from>
    <xdr:to>
      <xdr:col>4</xdr:col>
      <xdr:colOff>352425</xdr:colOff>
      <xdr:row>18</xdr:row>
      <xdr:rowOff>95250</xdr:rowOff>
    </xdr:to>
    <xdr:sp macro="" textlink="">
      <xdr:nvSpPr>
        <xdr:cNvPr id="17" name="Line 16"/>
        <xdr:cNvSpPr>
          <a:spLocks noChangeShapeType="1"/>
        </xdr:cNvSpPr>
      </xdr:nvSpPr>
      <xdr:spPr bwMode="auto">
        <a:xfrm>
          <a:off x="1762125" y="3038475"/>
          <a:ext cx="790575" cy="0"/>
        </a:xfrm>
        <a:prstGeom prst="line">
          <a:avLst/>
        </a:prstGeom>
        <a:noFill/>
        <a:ln w="9525">
          <a:solidFill>
            <a:srgbClr val="000000"/>
          </a:solidFill>
          <a:round/>
          <a:headEnd/>
          <a:tailEnd/>
        </a:ln>
      </xdr:spPr>
    </xdr:sp>
    <xdr:clientData/>
  </xdr:twoCellAnchor>
  <xdr:twoCellAnchor>
    <xdr:from>
      <xdr:col>5</xdr:col>
      <xdr:colOff>76200</xdr:colOff>
      <xdr:row>18</xdr:row>
      <xdr:rowOff>104775</xdr:rowOff>
    </xdr:from>
    <xdr:to>
      <xdr:col>5</xdr:col>
      <xdr:colOff>600075</xdr:colOff>
      <xdr:row>18</xdr:row>
      <xdr:rowOff>104775</xdr:rowOff>
    </xdr:to>
    <xdr:sp macro="" textlink="">
      <xdr:nvSpPr>
        <xdr:cNvPr id="18" name="Line 17"/>
        <xdr:cNvSpPr>
          <a:spLocks noChangeShapeType="1"/>
        </xdr:cNvSpPr>
      </xdr:nvSpPr>
      <xdr:spPr bwMode="auto">
        <a:xfrm flipH="1">
          <a:off x="2962275" y="3048000"/>
          <a:ext cx="523875" cy="0"/>
        </a:xfrm>
        <a:prstGeom prst="line">
          <a:avLst/>
        </a:prstGeom>
        <a:noFill/>
        <a:ln w="9525">
          <a:solidFill>
            <a:srgbClr val="000000"/>
          </a:solidFill>
          <a:round/>
          <a:headEnd/>
          <a:tailEnd/>
        </a:ln>
      </xdr:spPr>
    </xdr:sp>
    <xdr:clientData/>
  </xdr:twoCellAnchor>
  <xdr:twoCellAnchor>
    <xdr:from>
      <xdr:col>40</xdr:col>
      <xdr:colOff>19050</xdr:colOff>
      <xdr:row>24</xdr:row>
      <xdr:rowOff>152400</xdr:rowOff>
    </xdr:from>
    <xdr:to>
      <xdr:col>41</xdr:col>
      <xdr:colOff>142875</xdr:colOff>
      <xdr:row>24</xdr:row>
      <xdr:rowOff>152400</xdr:rowOff>
    </xdr:to>
    <xdr:sp macro="" textlink="">
      <xdr:nvSpPr>
        <xdr:cNvPr id="19" name="Line 18"/>
        <xdr:cNvSpPr>
          <a:spLocks noChangeShapeType="1"/>
        </xdr:cNvSpPr>
      </xdr:nvSpPr>
      <xdr:spPr bwMode="auto">
        <a:xfrm>
          <a:off x="24412575" y="4067175"/>
          <a:ext cx="733425" cy="0"/>
        </a:xfrm>
        <a:prstGeom prst="line">
          <a:avLst/>
        </a:prstGeom>
        <a:noFill/>
        <a:ln w="9525">
          <a:solidFill>
            <a:srgbClr val="000000"/>
          </a:solidFill>
          <a:round/>
          <a:headEnd/>
          <a:tailEnd/>
        </a:ln>
      </xdr:spPr>
    </xdr:sp>
    <xdr:clientData/>
  </xdr:twoCellAnchor>
  <xdr:twoCellAnchor>
    <xdr:from>
      <xdr:col>4</xdr:col>
      <xdr:colOff>295275</xdr:colOff>
      <xdr:row>10</xdr:row>
      <xdr:rowOff>114300</xdr:rowOff>
    </xdr:from>
    <xdr:to>
      <xdr:col>4</xdr:col>
      <xdr:colOff>400050</xdr:colOff>
      <xdr:row>11</xdr:row>
      <xdr:rowOff>28575</xdr:rowOff>
    </xdr:to>
    <xdr:sp macro="" textlink="">
      <xdr:nvSpPr>
        <xdr:cNvPr id="20" name="Line 19"/>
        <xdr:cNvSpPr>
          <a:spLocks noChangeShapeType="1"/>
        </xdr:cNvSpPr>
      </xdr:nvSpPr>
      <xdr:spPr bwMode="auto">
        <a:xfrm flipV="1">
          <a:off x="2495550" y="1762125"/>
          <a:ext cx="104775" cy="76200"/>
        </a:xfrm>
        <a:prstGeom prst="line">
          <a:avLst/>
        </a:prstGeom>
        <a:noFill/>
        <a:ln w="9525">
          <a:solidFill>
            <a:srgbClr val="000000"/>
          </a:solidFill>
          <a:round/>
          <a:headEnd/>
          <a:tailEnd/>
        </a:ln>
      </xdr:spPr>
    </xdr:sp>
    <xdr:clientData/>
  </xdr:twoCellAnchor>
  <xdr:twoCellAnchor>
    <xdr:from>
      <xdr:col>4</xdr:col>
      <xdr:colOff>285750</xdr:colOff>
      <xdr:row>7</xdr:row>
      <xdr:rowOff>114300</xdr:rowOff>
    </xdr:from>
    <xdr:to>
      <xdr:col>4</xdr:col>
      <xdr:colOff>371475</xdr:colOff>
      <xdr:row>8</xdr:row>
      <xdr:rowOff>19050</xdr:rowOff>
    </xdr:to>
    <xdr:sp macro="" textlink="">
      <xdr:nvSpPr>
        <xdr:cNvPr id="21" name="Line 20"/>
        <xdr:cNvSpPr>
          <a:spLocks noChangeShapeType="1"/>
        </xdr:cNvSpPr>
      </xdr:nvSpPr>
      <xdr:spPr bwMode="auto">
        <a:xfrm flipV="1">
          <a:off x="2486025" y="1276350"/>
          <a:ext cx="85725" cy="66675"/>
        </a:xfrm>
        <a:prstGeom prst="line">
          <a:avLst/>
        </a:prstGeom>
        <a:noFill/>
        <a:ln w="9525">
          <a:solidFill>
            <a:srgbClr val="000000"/>
          </a:solidFill>
          <a:round/>
          <a:headEnd/>
          <a:tailEnd/>
        </a:ln>
      </xdr:spPr>
    </xdr:sp>
    <xdr:clientData/>
  </xdr:twoCellAnchor>
  <xdr:twoCellAnchor>
    <xdr:from>
      <xdr:col>3</xdr:col>
      <xdr:colOff>133350</xdr:colOff>
      <xdr:row>18</xdr:row>
      <xdr:rowOff>47625</xdr:rowOff>
    </xdr:from>
    <xdr:to>
      <xdr:col>3</xdr:col>
      <xdr:colOff>228600</xdr:colOff>
      <xdr:row>18</xdr:row>
      <xdr:rowOff>123825</xdr:rowOff>
    </xdr:to>
    <xdr:sp macro="" textlink="">
      <xdr:nvSpPr>
        <xdr:cNvPr id="22" name="Line 21"/>
        <xdr:cNvSpPr>
          <a:spLocks noChangeShapeType="1"/>
        </xdr:cNvSpPr>
      </xdr:nvSpPr>
      <xdr:spPr bwMode="auto">
        <a:xfrm flipV="1">
          <a:off x="1724025" y="2990850"/>
          <a:ext cx="95250" cy="76200"/>
        </a:xfrm>
        <a:prstGeom prst="line">
          <a:avLst/>
        </a:prstGeom>
        <a:noFill/>
        <a:ln w="9525">
          <a:solidFill>
            <a:srgbClr val="000000"/>
          </a:solidFill>
          <a:round/>
          <a:headEnd/>
          <a:tailEnd/>
        </a:ln>
      </xdr:spPr>
    </xdr:sp>
    <xdr:clientData/>
  </xdr:twoCellAnchor>
  <xdr:twoCellAnchor>
    <xdr:from>
      <xdr:col>5</xdr:col>
      <xdr:colOff>571500</xdr:colOff>
      <xdr:row>18</xdr:row>
      <xdr:rowOff>47625</xdr:rowOff>
    </xdr:from>
    <xdr:to>
      <xdr:col>6</xdr:col>
      <xdr:colOff>47625</xdr:colOff>
      <xdr:row>18</xdr:row>
      <xdr:rowOff>142875</xdr:rowOff>
    </xdr:to>
    <xdr:sp macro="" textlink="">
      <xdr:nvSpPr>
        <xdr:cNvPr id="23" name="Line 22"/>
        <xdr:cNvSpPr>
          <a:spLocks noChangeShapeType="1"/>
        </xdr:cNvSpPr>
      </xdr:nvSpPr>
      <xdr:spPr bwMode="auto">
        <a:xfrm flipV="1">
          <a:off x="3457575" y="2990850"/>
          <a:ext cx="85725" cy="95250"/>
        </a:xfrm>
        <a:prstGeom prst="line">
          <a:avLst/>
        </a:prstGeom>
        <a:noFill/>
        <a:ln w="9525">
          <a:solidFill>
            <a:srgbClr val="000000"/>
          </a:solidFill>
          <a:round/>
          <a:headEnd/>
          <a:tailEnd/>
        </a:ln>
      </xdr:spPr>
    </xdr:sp>
    <xdr:clientData/>
  </xdr:twoCellAnchor>
  <xdr:twoCellAnchor>
    <xdr:from>
      <xdr:col>39</xdr:col>
      <xdr:colOff>247650</xdr:colOff>
      <xdr:row>16</xdr:row>
      <xdr:rowOff>142875</xdr:rowOff>
    </xdr:from>
    <xdr:to>
      <xdr:col>39</xdr:col>
      <xdr:colOff>276225</xdr:colOff>
      <xdr:row>17</xdr:row>
      <xdr:rowOff>28575</xdr:rowOff>
    </xdr:to>
    <xdr:sp macro="" textlink="">
      <xdr:nvSpPr>
        <xdr:cNvPr id="24" name="Line 23"/>
        <xdr:cNvSpPr>
          <a:spLocks noChangeShapeType="1"/>
        </xdr:cNvSpPr>
      </xdr:nvSpPr>
      <xdr:spPr bwMode="auto">
        <a:xfrm flipH="1">
          <a:off x="24031575" y="2762250"/>
          <a:ext cx="28575" cy="47625"/>
        </a:xfrm>
        <a:prstGeom prst="line">
          <a:avLst/>
        </a:prstGeom>
        <a:noFill/>
        <a:ln w="9525">
          <a:solidFill>
            <a:srgbClr val="000000"/>
          </a:solidFill>
          <a:round/>
          <a:headEnd/>
          <a:tailEnd/>
        </a:ln>
      </xdr:spPr>
    </xdr:sp>
    <xdr:clientData/>
  </xdr:twoCellAnchor>
  <xdr:twoCellAnchor>
    <xdr:from>
      <xdr:col>35</xdr:col>
      <xdr:colOff>180975</xdr:colOff>
      <xdr:row>22</xdr:row>
      <xdr:rowOff>0</xdr:rowOff>
    </xdr:from>
    <xdr:to>
      <xdr:col>35</xdr:col>
      <xdr:colOff>314325</xdr:colOff>
      <xdr:row>23</xdr:row>
      <xdr:rowOff>47625</xdr:rowOff>
    </xdr:to>
    <xdr:sp macro="" textlink="">
      <xdr:nvSpPr>
        <xdr:cNvPr id="25" name="Line 24"/>
        <xdr:cNvSpPr>
          <a:spLocks noChangeShapeType="1"/>
        </xdr:cNvSpPr>
      </xdr:nvSpPr>
      <xdr:spPr bwMode="auto">
        <a:xfrm>
          <a:off x="21526500" y="3590925"/>
          <a:ext cx="133350" cy="209550"/>
        </a:xfrm>
        <a:prstGeom prst="line">
          <a:avLst/>
        </a:prstGeom>
        <a:noFill/>
        <a:ln w="9525">
          <a:solidFill>
            <a:srgbClr val="000000"/>
          </a:solidFill>
          <a:round/>
          <a:headEnd/>
          <a:tailEnd/>
        </a:ln>
      </xdr:spPr>
    </xdr:sp>
    <xdr:clientData/>
  </xdr:twoCellAnchor>
  <xdr:twoCellAnchor>
    <xdr:from>
      <xdr:col>34</xdr:col>
      <xdr:colOff>171450</xdr:colOff>
      <xdr:row>21</xdr:row>
      <xdr:rowOff>152400</xdr:rowOff>
    </xdr:from>
    <xdr:to>
      <xdr:col>34</xdr:col>
      <xdr:colOff>285750</xdr:colOff>
      <xdr:row>23</xdr:row>
      <xdr:rowOff>9525</xdr:rowOff>
    </xdr:to>
    <xdr:sp macro="" textlink="">
      <xdr:nvSpPr>
        <xdr:cNvPr id="26" name="Line 25"/>
        <xdr:cNvSpPr>
          <a:spLocks noChangeShapeType="1"/>
        </xdr:cNvSpPr>
      </xdr:nvSpPr>
      <xdr:spPr bwMode="auto">
        <a:xfrm>
          <a:off x="20907375" y="3581400"/>
          <a:ext cx="114300" cy="180975"/>
        </a:xfrm>
        <a:prstGeom prst="line">
          <a:avLst/>
        </a:prstGeom>
        <a:noFill/>
        <a:ln w="9525">
          <a:solidFill>
            <a:srgbClr val="000000"/>
          </a:solidFill>
          <a:round/>
          <a:headEnd/>
          <a:tailEnd/>
        </a:ln>
      </xdr:spPr>
    </xdr:sp>
    <xdr:clientData/>
  </xdr:twoCellAnchor>
  <xdr:twoCellAnchor>
    <xdr:from>
      <xdr:col>2</xdr:col>
      <xdr:colOff>371475</xdr:colOff>
      <xdr:row>11</xdr:row>
      <xdr:rowOff>19050</xdr:rowOff>
    </xdr:from>
    <xdr:to>
      <xdr:col>2</xdr:col>
      <xdr:colOff>371475</xdr:colOff>
      <xdr:row>11</xdr:row>
      <xdr:rowOff>38100</xdr:rowOff>
    </xdr:to>
    <xdr:sp macro="" textlink="">
      <xdr:nvSpPr>
        <xdr:cNvPr id="27" name="Line 26"/>
        <xdr:cNvSpPr>
          <a:spLocks noChangeShapeType="1"/>
        </xdr:cNvSpPr>
      </xdr:nvSpPr>
      <xdr:spPr bwMode="auto">
        <a:xfrm>
          <a:off x="1362075" y="1828800"/>
          <a:ext cx="0" cy="19050"/>
        </a:xfrm>
        <a:prstGeom prst="line">
          <a:avLst/>
        </a:prstGeom>
        <a:noFill/>
        <a:ln w="9525">
          <a:solidFill>
            <a:srgbClr val="000000"/>
          </a:solidFill>
          <a:round/>
          <a:headEnd/>
          <a:tailEnd/>
        </a:ln>
      </xdr:spPr>
    </xdr:sp>
    <xdr:clientData/>
  </xdr:twoCellAnchor>
  <xdr:twoCellAnchor>
    <xdr:from>
      <xdr:col>2</xdr:col>
      <xdr:colOff>371475</xdr:colOff>
      <xdr:row>11</xdr:row>
      <xdr:rowOff>9525</xdr:rowOff>
    </xdr:from>
    <xdr:to>
      <xdr:col>2</xdr:col>
      <xdr:colOff>381000</xdr:colOff>
      <xdr:row>11</xdr:row>
      <xdr:rowOff>38100</xdr:rowOff>
    </xdr:to>
    <xdr:sp macro="" textlink="">
      <xdr:nvSpPr>
        <xdr:cNvPr id="28" name="Line 27"/>
        <xdr:cNvSpPr>
          <a:spLocks noChangeShapeType="1"/>
        </xdr:cNvSpPr>
      </xdr:nvSpPr>
      <xdr:spPr bwMode="auto">
        <a:xfrm>
          <a:off x="1362075" y="1819275"/>
          <a:ext cx="9525" cy="28575"/>
        </a:xfrm>
        <a:prstGeom prst="line">
          <a:avLst/>
        </a:prstGeom>
        <a:noFill/>
        <a:ln w="9525">
          <a:solidFill>
            <a:srgbClr val="000000"/>
          </a:solidFill>
          <a:round/>
          <a:headEnd/>
          <a:tailEnd/>
        </a:ln>
      </xdr:spPr>
    </xdr:sp>
    <xdr:clientData/>
  </xdr:twoCellAnchor>
  <xdr:twoCellAnchor>
    <xdr:from>
      <xdr:col>2</xdr:col>
      <xdr:colOff>371475</xdr:colOff>
      <xdr:row>10</xdr:row>
      <xdr:rowOff>152400</xdr:rowOff>
    </xdr:from>
    <xdr:to>
      <xdr:col>2</xdr:col>
      <xdr:colOff>381000</xdr:colOff>
      <xdr:row>11</xdr:row>
      <xdr:rowOff>28575</xdr:rowOff>
    </xdr:to>
    <xdr:sp macro="" textlink="">
      <xdr:nvSpPr>
        <xdr:cNvPr id="29" name="Line 28"/>
        <xdr:cNvSpPr>
          <a:spLocks noChangeShapeType="1"/>
        </xdr:cNvSpPr>
      </xdr:nvSpPr>
      <xdr:spPr bwMode="auto">
        <a:xfrm>
          <a:off x="1362075" y="1800225"/>
          <a:ext cx="9525" cy="38100"/>
        </a:xfrm>
        <a:prstGeom prst="line">
          <a:avLst/>
        </a:prstGeom>
        <a:noFill/>
        <a:ln w="9525">
          <a:solidFill>
            <a:srgbClr val="000000"/>
          </a:solidFill>
          <a:round/>
          <a:headEnd/>
          <a:tailEnd/>
        </a:ln>
      </xdr:spPr>
    </xdr:sp>
    <xdr:clientData/>
  </xdr:twoCellAnchor>
  <xdr:twoCellAnchor>
    <xdr:from>
      <xdr:col>2</xdr:col>
      <xdr:colOff>361950</xdr:colOff>
      <xdr:row>10</xdr:row>
      <xdr:rowOff>142875</xdr:rowOff>
    </xdr:from>
    <xdr:to>
      <xdr:col>2</xdr:col>
      <xdr:colOff>361950</xdr:colOff>
      <xdr:row>12</xdr:row>
      <xdr:rowOff>47625</xdr:rowOff>
    </xdr:to>
    <xdr:sp macro="" textlink="">
      <xdr:nvSpPr>
        <xdr:cNvPr id="30" name="Line 29"/>
        <xdr:cNvSpPr>
          <a:spLocks noChangeShapeType="1"/>
        </xdr:cNvSpPr>
      </xdr:nvSpPr>
      <xdr:spPr bwMode="auto">
        <a:xfrm>
          <a:off x="1352550" y="1790700"/>
          <a:ext cx="0" cy="228600"/>
        </a:xfrm>
        <a:prstGeom prst="line">
          <a:avLst/>
        </a:prstGeom>
        <a:noFill/>
        <a:ln w="9525">
          <a:solidFill>
            <a:srgbClr val="000000"/>
          </a:solidFill>
          <a:round/>
          <a:headEnd/>
          <a:tailEnd/>
        </a:ln>
      </xdr:spPr>
    </xdr:sp>
    <xdr:clientData/>
  </xdr:twoCellAnchor>
  <xdr:twoCellAnchor>
    <xdr:from>
      <xdr:col>2</xdr:col>
      <xdr:colOff>323850</xdr:colOff>
      <xdr:row>10</xdr:row>
      <xdr:rowOff>104775</xdr:rowOff>
    </xdr:from>
    <xdr:to>
      <xdr:col>2</xdr:col>
      <xdr:colOff>419100</xdr:colOff>
      <xdr:row>11</xdr:row>
      <xdr:rowOff>19050</xdr:rowOff>
    </xdr:to>
    <xdr:sp macro="" textlink="">
      <xdr:nvSpPr>
        <xdr:cNvPr id="31" name="Line 30"/>
        <xdr:cNvSpPr>
          <a:spLocks noChangeShapeType="1"/>
        </xdr:cNvSpPr>
      </xdr:nvSpPr>
      <xdr:spPr bwMode="auto">
        <a:xfrm flipV="1">
          <a:off x="1314450" y="1752600"/>
          <a:ext cx="95250" cy="76200"/>
        </a:xfrm>
        <a:prstGeom prst="line">
          <a:avLst/>
        </a:prstGeom>
        <a:noFill/>
        <a:ln w="9525">
          <a:solidFill>
            <a:srgbClr val="000000"/>
          </a:solidFill>
          <a:round/>
          <a:headEnd/>
          <a:tailEnd/>
        </a:ln>
      </xdr:spPr>
    </xdr:sp>
    <xdr:clientData/>
  </xdr:twoCellAnchor>
  <xdr:twoCellAnchor>
    <xdr:from>
      <xdr:col>2</xdr:col>
      <xdr:colOff>323850</xdr:colOff>
      <xdr:row>11</xdr:row>
      <xdr:rowOff>114300</xdr:rowOff>
    </xdr:from>
    <xdr:to>
      <xdr:col>2</xdr:col>
      <xdr:colOff>409575</xdr:colOff>
      <xdr:row>12</xdr:row>
      <xdr:rowOff>19050</xdr:rowOff>
    </xdr:to>
    <xdr:sp macro="" textlink="">
      <xdr:nvSpPr>
        <xdr:cNvPr id="32" name="Line 31"/>
        <xdr:cNvSpPr>
          <a:spLocks noChangeShapeType="1"/>
        </xdr:cNvSpPr>
      </xdr:nvSpPr>
      <xdr:spPr bwMode="auto">
        <a:xfrm flipV="1">
          <a:off x="1314450" y="1924050"/>
          <a:ext cx="85725" cy="66675"/>
        </a:xfrm>
        <a:prstGeom prst="line">
          <a:avLst/>
        </a:prstGeom>
        <a:noFill/>
        <a:ln w="9525">
          <a:solidFill>
            <a:srgbClr val="000000"/>
          </a:solidFill>
          <a:round/>
          <a:headEnd/>
          <a:tailEnd/>
        </a:ln>
      </xdr:spPr>
    </xdr:sp>
    <xdr:clientData/>
  </xdr:twoCellAnchor>
  <xdr:twoCellAnchor>
    <xdr:from>
      <xdr:col>2</xdr:col>
      <xdr:colOff>485775</xdr:colOff>
      <xdr:row>10</xdr:row>
      <xdr:rowOff>85725</xdr:rowOff>
    </xdr:from>
    <xdr:to>
      <xdr:col>3</xdr:col>
      <xdr:colOff>200025</xdr:colOff>
      <xdr:row>10</xdr:row>
      <xdr:rowOff>85725</xdr:rowOff>
    </xdr:to>
    <xdr:sp macro="" textlink="">
      <xdr:nvSpPr>
        <xdr:cNvPr id="33" name="Line 32"/>
        <xdr:cNvSpPr>
          <a:spLocks noChangeShapeType="1"/>
        </xdr:cNvSpPr>
      </xdr:nvSpPr>
      <xdr:spPr bwMode="auto">
        <a:xfrm>
          <a:off x="1476375" y="1733550"/>
          <a:ext cx="314325" cy="0"/>
        </a:xfrm>
        <a:prstGeom prst="line">
          <a:avLst/>
        </a:prstGeom>
        <a:noFill/>
        <a:ln w="9525">
          <a:solidFill>
            <a:srgbClr val="000000"/>
          </a:solidFill>
          <a:round/>
          <a:headEnd/>
          <a:tailEnd/>
        </a:ln>
      </xdr:spPr>
    </xdr:sp>
    <xdr:clientData/>
  </xdr:twoCellAnchor>
  <xdr:twoCellAnchor>
    <xdr:from>
      <xdr:col>2</xdr:col>
      <xdr:colOff>466725</xdr:colOff>
      <xdr:row>10</xdr:row>
      <xdr:rowOff>19050</xdr:rowOff>
    </xdr:from>
    <xdr:to>
      <xdr:col>2</xdr:col>
      <xdr:colOff>533400</xdr:colOff>
      <xdr:row>10</xdr:row>
      <xdr:rowOff>104775</xdr:rowOff>
    </xdr:to>
    <xdr:sp macro="" textlink="">
      <xdr:nvSpPr>
        <xdr:cNvPr id="34" name="Line 33"/>
        <xdr:cNvSpPr>
          <a:spLocks noChangeShapeType="1"/>
        </xdr:cNvSpPr>
      </xdr:nvSpPr>
      <xdr:spPr bwMode="auto">
        <a:xfrm flipV="1">
          <a:off x="1457325" y="1666875"/>
          <a:ext cx="66675" cy="85725"/>
        </a:xfrm>
        <a:prstGeom prst="line">
          <a:avLst/>
        </a:prstGeom>
        <a:noFill/>
        <a:ln w="9525">
          <a:solidFill>
            <a:srgbClr val="000000"/>
          </a:solidFill>
          <a:round/>
          <a:headEnd/>
          <a:tailEnd/>
        </a:ln>
      </xdr:spPr>
    </xdr:sp>
    <xdr:clientData/>
  </xdr:twoCellAnchor>
  <xdr:twoCellAnchor>
    <xdr:from>
      <xdr:col>3</xdr:col>
      <xdr:colOff>161925</xdr:colOff>
      <xdr:row>10</xdr:row>
      <xdr:rowOff>19050</xdr:rowOff>
    </xdr:from>
    <xdr:to>
      <xdr:col>3</xdr:col>
      <xdr:colOff>257175</xdr:colOff>
      <xdr:row>10</xdr:row>
      <xdr:rowOff>123825</xdr:rowOff>
    </xdr:to>
    <xdr:sp macro="" textlink="">
      <xdr:nvSpPr>
        <xdr:cNvPr id="35" name="Line 34"/>
        <xdr:cNvSpPr>
          <a:spLocks noChangeShapeType="1"/>
        </xdr:cNvSpPr>
      </xdr:nvSpPr>
      <xdr:spPr bwMode="auto">
        <a:xfrm flipV="1">
          <a:off x="1752600" y="1666875"/>
          <a:ext cx="95250" cy="104775"/>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6" name="Line 35"/>
        <xdr:cNvSpPr>
          <a:spLocks noChangeShapeType="1"/>
        </xdr:cNvSpPr>
      </xdr:nvSpPr>
      <xdr:spPr bwMode="auto">
        <a:xfrm flipH="1" flipV="1">
          <a:off x="4095750" y="6372225"/>
          <a:ext cx="9525"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7" name="Line 36"/>
        <xdr:cNvSpPr>
          <a:spLocks noChangeShapeType="1"/>
        </xdr:cNvSpPr>
      </xdr:nvSpPr>
      <xdr:spPr bwMode="auto">
        <a:xfrm flipH="1" flipV="1">
          <a:off x="4095750" y="6372225"/>
          <a:ext cx="9525"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8" name="Line 37"/>
        <xdr:cNvSpPr>
          <a:spLocks noChangeShapeType="1"/>
        </xdr:cNvSpPr>
      </xdr:nvSpPr>
      <xdr:spPr bwMode="auto">
        <a:xfrm flipH="1" flipV="1">
          <a:off x="4095750" y="6372225"/>
          <a:ext cx="9525" cy="0"/>
        </a:xfrm>
        <a:prstGeom prst="line">
          <a:avLst/>
        </a:prstGeom>
        <a:noFill/>
        <a:ln w="9525">
          <a:solidFill>
            <a:srgbClr val="000000"/>
          </a:solidFill>
          <a:round/>
          <a:headEnd/>
          <a:tailEnd/>
        </a:ln>
      </xdr:spPr>
    </xdr:sp>
    <xdr:clientData/>
  </xdr:twoCellAnchor>
  <xdr:twoCellAnchor>
    <xdr:from>
      <xdr:col>6</xdr:col>
      <xdr:colOff>600075</xdr:colOff>
      <xdr:row>39</xdr:row>
      <xdr:rowOff>0</xdr:rowOff>
    </xdr:from>
    <xdr:to>
      <xdr:col>7</xdr:col>
      <xdr:colOff>0</xdr:colOff>
      <xdr:row>39</xdr:row>
      <xdr:rowOff>0</xdr:rowOff>
    </xdr:to>
    <xdr:sp macro="" textlink="">
      <xdr:nvSpPr>
        <xdr:cNvPr id="39" name="Line 38"/>
        <xdr:cNvSpPr>
          <a:spLocks noChangeShapeType="1"/>
        </xdr:cNvSpPr>
      </xdr:nvSpPr>
      <xdr:spPr bwMode="auto">
        <a:xfrm flipH="1" flipV="1">
          <a:off x="4095750" y="6372225"/>
          <a:ext cx="9525" cy="0"/>
        </a:xfrm>
        <a:prstGeom prst="line">
          <a:avLst/>
        </a:prstGeom>
        <a:noFill/>
        <a:ln w="9525">
          <a:solidFill>
            <a:srgbClr val="000000"/>
          </a:solidFill>
          <a:round/>
          <a:headEnd/>
          <a:tailEnd/>
        </a:ln>
      </xdr:spPr>
    </xdr:sp>
    <xdr:clientData/>
  </xdr:twoCellAnchor>
  <xdr:twoCellAnchor>
    <xdr:from>
      <xdr:col>6</xdr:col>
      <xdr:colOff>171450</xdr:colOff>
      <xdr:row>21</xdr:row>
      <xdr:rowOff>104775</xdr:rowOff>
    </xdr:from>
    <xdr:to>
      <xdr:col>6</xdr:col>
      <xdr:colOff>457200</xdr:colOff>
      <xdr:row>21</xdr:row>
      <xdr:rowOff>104775</xdr:rowOff>
    </xdr:to>
    <xdr:sp macro="" textlink="">
      <xdr:nvSpPr>
        <xdr:cNvPr id="40" name="Line 39"/>
        <xdr:cNvSpPr>
          <a:spLocks noChangeShapeType="1"/>
        </xdr:cNvSpPr>
      </xdr:nvSpPr>
      <xdr:spPr bwMode="auto">
        <a:xfrm>
          <a:off x="3667125" y="3533775"/>
          <a:ext cx="285750" cy="0"/>
        </a:xfrm>
        <a:prstGeom prst="line">
          <a:avLst/>
        </a:prstGeom>
        <a:noFill/>
        <a:ln w="9525">
          <a:solidFill>
            <a:srgbClr val="000000"/>
          </a:solidFill>
          <a:round/>
          <a:headEnd/>
          <a:tailEnd/>
        </a:ln>
      </xdr:spPr>
    </xdr:sp>
    <xdr:clientData/>
  </xdr:twoCellAnchor>
  <xdr:twoCellAnchor>
    <xdr:from>
      <xdr:col>6</xdr:col>
      <xdr:colOff>447675</xdr:colOff>
      <xdr:row>21</xdr:row>
      <xdr:rowOff>57150</xdr:rowOff>
    </xdr:from>
    <xdr:to>
      <xdr:col>6</xdr:col>
      <xdr:colOff>447675</xdr:colOff>
      <xdr:row>21</xdr:row>
      <xdr:rowOff>142875</xdr:rowOff>
    </xdr:to>
    <xdr:sp macro="" textlink="">
      <xdr:nvSpPr>
        <xdr:cNvPr id="41" name="Line 40"/>
        <xdr:cNvSpPr>
          <a:spLocks noChangeShapeType="1"/>
        </xdr:cNvSpPr>
      </xdr:nvSpPr>
      <xdr:spPr bwMode="auto">
        <a:xfrm>
          <a:off x="3943350" y="3486150"/>
          <a:ext cx="0" cy="85725"/>
        </a:xfrm>
        <a:prstGeom prst="line">
          <a:avLst/>
        </a:prstGeom>
        <a:noFill/>
        <a:ln w="9525">
          <a:solidFill>
            <a:srgbClr val="000000"/>
          </a:solidFill>
          <a:round/>
          <a:headEnd/>
          <a:tailEnd/>
        </a:ln>
      </xdr:spPr>
    </xdr:sp>
    <xdr:clientData/>
  </xdr:twoCellAnchor>
  <xdr:twoCellAnchor>
    <xdr:from>
      <xdr:col>6</xdr:col>
      <xdr:colOff>323850</xdr:colOff>
      <xdr:row>20</xdr:row>
      <xdr:rowOff>85725</xdr:rowOff>
    </xdr:from>
    <xdr:to>
      <xdr:col>6</xdr:col>
      <xdr:colOff>409575</xdr:colOff>
      <xdr:row>21</xdr:row>
      <xdr:rowOff>85725</xdr:rowOff>
    </xdr:to>
    <xdr:sp macro="" textlink="">
      <xdr:nvSpPr>
        <xdr:cNvPr id="42" name="Line 41"/>
        <xdr:cNvSpPr>
          <a:spLocks noChangeShapeType="1"/>
        </xdr:cNvSpPr>
      </xdr:nvSpPr>
      <xdr:spPr bwMode="auto">
        <a:xfrm flipV="1">
          <a:off x="3819525" y="3352800"/>
          <a:ext cx="85725" cy="161925"/>
        </a:xfrm>
        <a:prstGeom prst="line">
          <a:avLst/>
        </a:prstGeom>
        <a:noFill/>
        <a:ln w="9525">
          <a:solidFill>
            <a:srgbClr val="000000"/>
          </a:solidFill>
          <a:round/>
          <a:headEnd/>
          <a:tailEnd/>
        </a:ln>
      </xdr:spPr>
    </xdr:sp>
    <xdr:clientData/>
  </xdr:twoCellAnchor>
  <xdr:twoCellAnchor>
    <xdr:from>
      <xdr:col>6</xdr:col>
      <xdr:colOff>438150</xdr:colOff>
      <xdr:row>23</xdr:row>
      <xdr:rowOff>38100</xdr:rowOff>
    </xdr:from>
    <xdr:to>
      <xdr:col>7</xdr:col>
      <xdr:colOff>19050</xdr:colOff>
      <xdr:row>23</xdr:row>
      <xdr:rowOff>85725</xdr:rowOff>
    </xdr:to>
    <xdr:sp macro="" textlink="">
      <xdr:nvSpPr>
        <xdr:cNvPr id="43" name="Line 42"/>
        <xdr:cNvSpPr>
          <a:spLocks noChangeShapeType="1"/>
        </xdr:cNvSpPr>
      </xdr:nvSpPr>
      <xdr:spPr bwMode="auto">
        <a:xfrm>
          <a:off x="3933825" y="3790950"/>
          <a:ext cx="190500" cy="47625"/>
        </a:xfrm>
        <a:prstGeom prst="line">
          <a:avLst/>
        </a:prstGeom>
        <a:noFill/>
        <a:ln w="9525">
          <a:solidFill>
            <a:srgbClr val="000000"/>
          </a:solidFill>
          <a:round/>
          <a:headEnd/>
          <a:tailEnd/>
        </a:ln>
      </xdr:spPr>
    </xdr:sp>
    <xdr:clientData/>
  </xdr:twoCellAnchor>
  <xdr:twoCellAnchor>
    <xdr:from>
      <xdr:col>6</xdr:col>
      <xdr:colOff>447675</xdr:colOff>
      <xdr:row>23</xdr:row>
      <xdr:rowOff>152400</xdr:rowOff>
    </xdr:from>
    <xdr:to>
      <xdr:col>7</xdr:col>
      <xdr:colOff>19050</xdr:colOff>
      <xdr:row>24</xdr:row>
      <xdr:rowOff>85725</xdr:rowOff>
    </xdr:to>
    <xdr:sp macro="" textlink="">
      <xdr:nvSpPr>
        <xdr:cNvPr id="44" name="Line 43"/>
        <xdr:cNvSpPr>
          <a:spLocks noChangeShapeType="1"/>
        </xdr:cNvSpPr>
      </xdr:nvSpPr>
      <xdr:spPr bwMode="auto">
        <a:xfrm>
          <a:off x="3943350" y="3905250"/>
          <a:ext cx="180975" cy="95250"/>
        </a:xfrm>
        <a:prstGeom prst="line">
          <a:avLst/>
        </a:prstGeom>
        <a:noFill/>
        <a:ln w="9525">
          <a:solidFill>
            <a:srgbClr val="000000"/>
          </a:solidFill>
          <a:round/>
          <a:headEnd/>
          <a:tailEnd/>
        </a:ln>
      </xdr:spPr>
    </xdr:sp>
    <xdr:clientData/>
  </xdr:twoCellAnchor>
  <xdr:twoCellAnchor>
    <xdr:from>
      <xdr:col>2</xdr:col>
      <xdr:colOff>314325</xdr:colOff>
      <xdr:row>24</xdr:row>
      <xdr:rowOff>133350</xdr:rowOff>
    </xdr:from>
    <xdr:to>
      <xdr:col>6</xdr:col>
      <xdr:colOff>457200</xdr:colOff>
      <xdr:row>24</xdr:row>
      <xdr:rowOff>133350</xdr:rowOff>
    </xdr:to>
    <xdr:sp macro="" textlink="">
      <xdr:nvSpPr>
        <xdr:cNvPr id="45" name="Line 44"/>
        <xdr:cNvSpPr>
          <a:spLocks noChangeShapeType="1"/>
        </xdr:cNvSpPr>
      </xdr:nvSpPr>
      <xdr:spPr bwMode="auto">
        <a:xfrm>
          <a:off x="1304925" y="4048125"/>
          <a:ext cx="2647950" cy="0"/>
        </a:xfrm>
        <a:prstGeom prst="line">
          <a:avLst/>
        </a:prstGeom>
        <a:noFill/>
        <a:ln w="9525">
          <a:solidFill>
            <a:srgbClr val="000000"/>
          </a:solidFill>
          <a:round/>
          <a:headEnd/>
          <a:tailEnd/>
        </a:ln>
      </xdr:spPr>
    </xdr:sp>
    <xdr:clientData/>
  </xdr:twoCellAnchor>
  <xdr:twoCellAnchor>
    <xdr:from>
      <xdr:col>2</xdr:col>
      <xdr:colOff>314325</xdr:colOff>
      <xdr:row>24</xdr:row>
      <xdr:rowOff>57150</xdr:rowOff>
    </xdr:from>
    <xdr:to>
      <xdr:col>2</xdr:col>
      <xdr:colOff>314325</xdr:colOff>
      <xdr:row>25</xdr:row>
      <xdr:rowOff>19050</xdr:rowOff>
    </xdr:to>
    <xdr:sp macro="" textlink="">
      <xdr:nvSpPr>
        <xdr:cNvPr id="46" name="Line 45"/>
        <xdr:cNvSpPr>
          <a:spLocks noChangeShapeType="1"/>
        </xdr:cNvSpPr>
      </xdr:nvSpPr>
      <xdr:spPr bwMode="auto">
        <a:xfrm>
          <a:off x="1304925" y="3971925"/>
          <a:ext cx="0" cy="123825"/>
        </a:xfrm>
        <a:prstGeom prst="line">
          <a:avLst/>
        </a:prstGeom>
        <a:noFill/>
        <a:ln w="9525">
          <a:solidFill>
            <a:srgbClr val="000000"/>
          </a:solidFill>
          <a:round/>
          <a:headEnd/>
          <a:tailEnd/>
        </a:ln>
      </xdr:spPr>
    </xdr:sp>
    <xdr:clientData/>
  </xdr:twoCellAnchor>
  <xdr:twoCellAnchor>
    <xdr:from>
      <xdr:col>6</xdr:col>
      <xdr:colOff>457200</xdr:colOff>
      <xdr:row>24</xdr:row>
      <xdr:rowOff>66675</xdr:rowOff>
    </xdr:from>
    <xdr:to>
      <xdr:col>6</xdr:col>
      <xdr:colOff>457200</xdr:colOff>
      <xdr:row>25</xdr:row>
      <xdr:rowOff>76200</xdr:rowOff>
    </xdr:to>
    <xdr:sp macro="" textlink="">
      <xdr:nvSpPr>
        <xdr:cNvPr id="47" name="Line 46"/>
        <xdr:cNvSpPr>
          <a:spLocks noChangeShapeType="1"/>
        </xdr:cNvSpPr>
      </xdr:nvSpPr>
      <xdr:spPr bwMode="auto">
        <a:xfrm>
          <a:off x="3952875" y="3981450"/>
          <a:ext cx="0" cy="171450"/>
        </a:xfrm>
        <a:prstGeom prst="line">
          <a:avLst/>
        </a:prstGeom>
        <a:noFill/>
        <a:ln w="9525">
          <a:solidFill>
            <a:srgbClr val="000000"/>
          </a:solidFill>
          <a:round/>
          <a:headEnd/>
          <a:tailEnd/>
        </a:ln>
      </xdr:spPr>
    </xdr:sp>
    <xdr:clientData/>
  </xdr:twoCellAnchor>
  <xdr:twoCellAnchor>
    <xdr:from>
      <xdr:col>29</xdr:col>
      <xdr:colOff>228600</xdr:colOff>
      <xdr:row>79</xdr:row>
      <xdr:rowOff>142875</xdr:rowOff>
    </xdr:from>
    <xdr:to>
      <xdr:col>29</xdr:col>
      <xdr:colOff>304800</xdr:colOff>
      <xdr:row>81</xdr:row>
      <xdr:rowOff>0</xdr:rowOff>
    </xdr:to>
    <xdr:sp macro="" textlink="">
      <xdr:nvSpPr>
        <xdr:cNvPr id="48" name="Line 47"/>
        <xdr:cNvSpPr>
          <a:spLocks noChangeShapeType="1"/>
        </xdr:cNvSpPr>
      </xdr:nvSpPr>
      <xdr:spPr bwMode="auto">
        <a:xfrm flipH="1">
          <a:off x="17916525" y="18192750"/>
          <a:ext cx="76200" cy="180975"/>
        </a:xfrm>
        <a:prstGeom prst="line">
          <a:avLst/>
        </a:prstGeom>
        <a:noFill/>
        <a:ln w="9525">
          <a:solidFill>
            <a:srgbClr val="000000"/>
          </a:solidFill>
          <a:round/>
          <a:headEnd/>
          <a:tailEnd/>
        </a:ln>
      </xdr:spPr>
    </xdr:sp>
    <xdr:clientData/>
  </xdr:twoCellAnchor>
  <xdr:twoCellAnchor>
    <xdr:from>
      <xdr:col>46</xdr:col>
      <xdr:colOff>209550</xdr:colOff>
      <xdr:row>78</xdr:row>
      <xdr:rowOff>0</xdr:rowOff>
    </xdr:from>
    <xdr:to>
      <xdr:col>46</xdr:col>
      <xdr:colOff>295275</xdr:colOff>
      <xdr:row>78</xdr:row>
      <xdr:rowOff>0</xdr:rowOff>
    </xdr:to>
    <xdr:sp macro="" textlink="">
      <xdr:nvSpPr>
        <xdr:cNvPr id="49" name="Line 48"/>
        <xdr:cNvSpPr>
          <a:spLocks noChangeShapeType="1"/>
        </xdr:cNvSpPr>
      </xdr:nvSpPr>
      <xdr:spPr bwMode="auto">
        <a:xfrm>
          <a:off x="28260675" y="17659350"/>
          <a:ext cx="85725" cy="0"/>
        </a:xfrm>
        <a:prstGeom prst="line">
          <a:avLst/>
        </a:prstGeom>
        <a:noFill/>
        <a:ln w="9525">
          <a:solidFill>
            <a:srgbClr val="000000"/>
          </a:solidFill>
          <a:round/>
          <a:headEnd/>
          <a:tailEnd/>
        </a:ln>
      </xdr:spPr>
    </xdr:sp>
    <xdr:clientData/>
  </xdr:twoCellAnchor>
  <xdr:twoCellAnchor>
    <xdr:from>
      <xdr:col>91</xdr:col>
      <xdr:colOff>171450</xdr:colOff>
      <xdr:row>71</xdr:row>
      <xdr:rowOff>76200</xdr:rowOff>
    </xdr:from>
    <xdr:to>
      <xdr:col>91</xdr:col>
      <xdr:colOff>361950</xdr:colOff>
      <xdr:row>71</xdr:row>
      <xdr:rowOff>123825</xdr:rowOff>
    </xdr:to>
    <xdr:sp macro="" textlink="">
      <xdr:nvSpPr>
        <xdr:cNvPr id="50" name="Line 49"/>
        <xdr:cNvSpPr>
          <a:spLocks noChangeShapeType="1"/>
        </xdr:cNvSpPr>
      </xdr:nvSpPr>
      <xdr:spPr bwMode="auto">
        <a:xfrm>
          <a:off x="55654575" y="15525750"/>
          <a:ext cx="190500" cy="47625"/>
        </a:xfrm>
        <a:prstGeom prst="line">
          <a:avLst/>
        </a:prstGeom>
        <a:noFill/>
        <a:ln w="9525">
          <a:solidFill>
            <a:srgbClr val="000000"/>
          </a:solidFill>
          <a:round/>
          <a:headEnd/>
          <a:tailEnd/>
        </a:ln>
      </xdr:spPr>
    </xdr:sp>
    <xdr:clientData/>
  </xdr:twoCellAnchor>
  <xdr:twoCellAnchor>
    <xdr:from>
      <xdr:col>12</xdr:col>
      <xdr:colOff>381000</xdr:colOff>
      <xdr:row>12</xdr:row>
      <xdr:rowOff>133350</xdr:rowOff>
    </xdr:from>
    <xdr:to>
      <xdr:col>12</xdr:col>
      <xdr:colOff>390525</xdr:colOff>
      <xdr:row>12</xdr:row>
      <xdr:rowOff>142875</xdr:rowOff>
    </xdr:to>
    <xdr:sp macro="" textlink="">
      <xdr:nvSpPr>
        <xdr:cNvPr id="51" name="Line 50"/>
        <xdr:cNvSpPr>
          <a:spLocks noChangeShapeType="1"/>
        </xdr:cNvSpPr>
      </xdr:nvSpPr>
      <xdr:spPr bwMode="auto">
        <a:xfrm flipV="1">
          <a:off x="7705725" y="2105025"/>
          <a:ext cx="9525" cy="9525"/>
        </a:xfrm>
        <a:prstGeom prst="line">
          <a:avLst/>
        </a:prstGeom>
        <a:noFill/>
        <a:ln w="9525">
          <a:solidFill>
            <a:srgbClr val="000000"/>
          </a:solidFill>
          <a:round/>
          <a:headEnd/>
          <a:tailEnd/>
        </a:ln>
      </xdr:spPr>
    </xdr:sp>
    <xdr:clientData/>
  </xdr:twoCellAnchor>
  <xdr:twoCellAnchor>
    <xdr:from>
      <xdr:col>7</xdr:col>
      <xdr:colOff>600075</xdr:colOff>
      <xdr:row>19</xdr:row>
      <xdr:rowOff>152400</xdr:rowOff>
    </xdr:from>
    <xdr:to>
      <xdr:col>7</xdr:col>
      <xdr:colOff>600075</xdr:colOff>
      <xdr:row>20</xdr:row>
      <xdr:rowOff>133350</xdr:rowOff>
    </xdr:to>
    <xdr:sp macro="" textlink="">
      <xdr:nvSpPr>
        <xdr:cNvPr id="52" name="Line 51"/>
        <xdr:cNvSpPr>
          <a:spLocks noChangeShapeType="1"/>
        </xdr:cNvSpPr>
      </xdr:nvSpPr>
      <xdr:spPr bwMode="auto">
        <a:xfrm flipV="1">
          <a:off x="4705350" y="3257550"/>
          <a:ext cx="0" cy="142875"/>
        </a:xfrm>
        <a:prstGeom prst="line">
          <a:avLst/>
        </a:prstGeom>
        <a:noFill/>
        <a:ln w="9525">
          <a:solidFill>
            <a:srgbClr val="000000"/>
          </a:solidFill>
          <a:round/>
          <a:headEnd/>
          <a:tailEnd type="triangle" w="med" len="med"/>
        </a:ln>
      </xdr:spPr>
    </xdr:sp>
    <xdr:clientData/>
  </xdr:twoCellAnchor>
  <xdr:twoCellAnchor>
    <xdr:from>
      <xdr:col>8</xdr:col>
      <xdr:colOff>0</xdr:colOff>
      <xdr:row>21</xdr:row>
      <xdr:rowOff>47625</xdr:rowOff>
    </xdr:from>
    <xdr:to>
      <xdr:col>8</xdr:col>
      <xdr:colOff>0</xdr:colOff>
      <xdr:row>22</xdr:row>
      <xdr:rowOff>9525</xdr:rowOff>
    </xdr:to>
    <xdr:sp macro="" textlink="">
      <xdr:nvSpPr>
        <xdr:cNvPr id="53" name="Line 52"/>
        <xdr:cNvSpPr>
          <a:spLocks noChangeShapeType="1"/>
        </xdr:cNvSpPr>
      </xdr:nvSpPr>
      <xdr:spPr bwMode="auto">
        <a:xfrm>
          <a:off x="4714875" y="3476625"/>
          <a:ext cx="0" cy="123825"/>
        </a:xfrm>
        <a:prstGeom prst="line">
          <a:avLst/>
        </a:prstGeom>
        <a:noFill/>
        <a:ln w="9525">
          <a:solidFill>
            <a:srgbClr val="000000"/>
          </a:solidFill>
          <a:round/>
          <a:headEnd/>
          <a:tailEnd type="triangle" w="med" len="med"/>
        </a:ln>
      </xdr:spPr>
    </xdr:sp>
    <xdr:clientData/>
  </xdr:twoCellAnchor>
  <xdr:twoCellAnchor>
    <xdr:from>
      <xdr:col>7</xdr:col>
      <xdr:colOff>419100</xdr:colOff>
      <xdr:row>20</xdr:row>
      <xdr:rowOff>9525</xdr:rowOff>
    </xdr:from>
    <xdr:to>
      <xdr:col>8</xdr:col>
      <xdr:colOff>371475</xdr:colOff>
      <xdr:row>20</xdr:row>
      <xdr:rowOff>9525</xdr:rowOff>
    </xdr:to>
    <xdr:sp macro="" textlink="">
      <xdr:nvSpPr>
        <xdr:cNvPr id="54" name="Line 53"/>
        <xdr:cNvSpPr>
          <a:spLocks noChangeShapeType="1"/>
        </xdr:cNvSpPr>
      </xdr:nvSpPr>
      <xdr:spPr bwMode="auto">
        <a:xfrm>
          <a:off x="4524375" y="3276600"/>
          <a:ext cx="561975" cy="0"/>
        </a:xfrm>
        <a:prstGeom prst="line">
          <a:avLst/>
        </a:prstGeom>
        <a:noFill/>
        <a:ln w="9525">
          <a:solidFill>
            <a:srgbClr val="000000"/>
          </a:solidFill>
          <a:round/>
          <a:headEnd/>
          <a:tailEnd/>
        </a:ln>
      </xdr:spPr>
    </xdr:sp>
    <xdr:clientData/>
  </xdr:twoCellAnchor>
  <xdr:twoCellAnchor>
    <xdr:from>
      <xdr:col>7</xdr:col>
      <xdr:colOff>304800</xdr:colOff>
      <xdr:row>20</xdr:row>
      <xdr:rowOff>9525</xdr:rowOff>
    </xdr:from>
    <xdr:to>
      <xdr:col>7</xdr:col>
      <xdr:colOff>523875</xdr:colOff>
      <xdr:row>21</xdr:row>
      <xdr:rowOff>0</xdr:rowOff>
    </xdr:to>
    <xdr:sp macro="" textlink="">
      <xdr:nvSpPr>
        <xdr:cNvPr id="55" name="Line 54"/>
        <xdr:cNvSpPr>
          <a:spLocks noChangeShapeType="1"/>
        </xdr:cNvSpPr>
      </xdr:nvSpPr>
      <xdr:spPr bwMode="auto">
        <a:xfrm flipV="1">
          <a:off x="4410075" y="3276600"/>
          <a:ext cx="219075" cy="152400"/>
        </a:xfrm>
        <a:prstGeom prst="line">
          <a:avLst/>
        </a:prstGeom>
        <a:noFill/>
        <a:ln w="9525">
          <a:solidFill>
            <a:srgbClr val="000000"/>
          </a:solidFill>
          <a:round/>
          <a:headEnd/>
          <a:tailEnd/>
        </a:ln>
      </xdr:spPr>
    </xdr:sp>
    <xdr:clientData/>
  </xdr:twoCellAnchor>
  <xdr:twoCellAnchor>
    <xdr:from>
      <xdr:col>7</xdr:col>
      <xdr:colOff>371475</xdr:colOff>
      <xdr:row>20</xdr:row>
      <xdr:rowOff>28575</xdr:rowOff>
    </xdr:from>
    <xdr:to>
      <xdr:col>7</xdr:col>
      <xdr:colOff>590550</xdr:colOff>
      <xdr:row>21</xdr:row>
      <xdr:rowOff>9525</xdr:rowOff>
    </xdr:to>
    <xdr:sp macro="" textlink="">
      <xdr:nvSpPr>
        <xdr:cNvPr id="56" name="Line 55"/>
        <xdr:cNvSpPr>
          <a:spLocks noChangeShapeType="1"/>
        </xdr:cNvSpPr>
      </xdr:nvSpPr>
      <xdr:spPr bwMode="auto">
        <a:xfrm flipV="1">
          <a:off x="4476750" y="3295650"/>
          <a:ext cx="219075" cy="142875"/>
        </a:xfrm>
        <a:prstGeom prst="line">
          <a:avLst/>
        </a:prstGeom>
        <a:noFill/>
        <a:ln w="9525">
          <a:solidFill>
            <a:srgbClr val="000000"/>
          </a:solidFill>
          <a:round/>
          <a:headEnd/>
          <a:tailEnd/>
        </a:ln>
      </xdr:spPr>
    </xdr:sp>
    <xdr:clientData/>
  </xdr:twoCellAnchor>
  <xdr:twoCellAnchor>
    <xdr:from>
      <xdr:col>8</xdr:col>
      <xdr:colOff>0</xdr:colOff>
      <xdr:row>20</xdr:row>
      <xdr:rowOff>28575</xdr:rowOff>
    </xdr:from>
    <xdr:to>
      <xdr:col>8</xdr:col>
      <xdr:colOff>171450</xdr:colOff>
      <xdr:row>21</xdr:row>
      <xdr:rowOff>0</xdr:rowOff>
    </xdr:to>
    <xdr:sp macro="" textlink="">
      <xdr:nvSpPr>
        <xdr:cNvPr id="57" name="Line 56"/>
        <xdr:cNvSpPr>
          <a:spLocks noChangeShapeType="1"/>
        </xdr:cNvSpPr>
      </xdr:nvSpPr>
      <xdr:spPr bwMode="auto">
        <a:xfrm>
          <a:off x="4714875" y="3295650"/>
          <a:ext cx="171450" cy="133350"/>
        </a:xfrm>
        <a:prstGeom prst="line">
          <a:avLst/>
        </a:prstGeom>
        <a:noFill/>
        <a:ln w="9525">
          <a:solidFill>
            <a:srgbClr val="000000"/>
          </a:solidFill>
          <a:round/>
          <a:headEnd/>
          <a:tailEnd/>
        </a:ln>
      </xdr:spPr>
    </xdr:sp>
    <xdr:clientData/>
  </xdr:twoCellAnchor>
  <xdr:twoCellAnchor>
    <xdr:from>
      <xdr:col>8</xdr:col>
      <xdr:colOff>66675</xdr:colOff>
      <xdr:row>20</xdr:row>
      <xdr:rowOff>9525</xdr:rowOff>
    </xdr:from>
    <xdr:to>
      <xdr:col>8</xdr:col>
      <xdr:colOff>247650</xdr:colOff>
      <xdr:row>20</xdr:row>
      <xdr:rowOff>152400</xdr:rowOff>
    </xdr:to>
    <xdr:sp macro="" textlink="">
      <xdr:nvSpPr>
        <xdr:cNvPr id="58" name="Line 57"/>
        <xdr:cNvSpPr>
          <a:spLocks noChangeShapeType="1"/>
        </xdr:cNvSpPr>
      </xdr:nvSpPr>
      <xdr:spPr bwMode="auto">
        <a:xfrm>
          <a:off x="4781550" y="3276600"/>
          <a:ext cx="180975" cy="142875"/>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data.Valves13-14-21.11.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
      <sheetName val="VC rate"/>
      <sheetName val="DFjoints"/>
      <sheetName val="dbl-airvalve-PVC"/>
      <sheetName val="dbl-airvalve-HDPE"/>
      <sheetName val="kintc-airvalve-DI"/>
      <sheetName val="kintc-airvalve-BWSC&amp;MS"/>
      <sheetName val="airvalve(AC)"/>
      <sheetName val="sluice-PVC"/>
      <sheetName val="sluice-HDPE"/>
      <sheetName val="sluice-DI"/>
      <sheetName val="sluice-AC"/>
      <sheetName val="ssr-rates"/>
      <sheetName val="MS-BWSC-GRP-PSC"/>
      <sheetName val="airvalve-AC"/>
      <sheetName val="sluice-PSC"/>
      <sheetName val="sluice-BWSCP-MS"/>
      <sheetName val="sluice-GRP"/>
      <sheetName val="scour-DI-CI"/>
      <sheetName val="scour-pvc-hdpe-psc-bwsc"/>
      <sheetName val="NRV(Swing check valve)-DI"/>
      <sheetName val="Lead"/>
      <sheetName val="Data"/>
      <sheetName val="vc80"/>
      <sheetName val="vc200"/>
      <sheetName val="vc450"/>
      <sheetName val="vc600"/>
      <sheetName val="vc700"/>
      <sheetName val="vc1000"/>
      <sheetName val="leads"/>
    </sheetNames>
    <sheetDataSet>
      <sheetData sheetId="0" refreshError="1"/>
      <sheetData sheetId="1" refreshError="1"/>
      <sheetData sheetId="2" refreshError="1">
        <row r="17">
          <cell r="C17">
            <v>926.59</v>
          </cell>
        </row>
        <row r="28">
          <cell r="C28">
            <v>139.21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1"/>
  <sheetViews>
    <sheetView topLeftCell="E299" zoomScaleNormal="100" workbookViewId="0">
      <selection activeCell="G299" sqref="G299"/>
    </sheetView>
  </sheetViews>
  <sheetFormatPr defaultColWidth="9.140625" defaultRowHeight="12.75" x14ac:dyDescent="0.2"/>
  <cols>
    <col min="1" max="1" width="9.7109375" style="841" customWidth="1"/>
    <col min="2" max="29" width="9.7109375" style="842" customWidth="1"/>
    <col min="30" max="16384" width="9.140625" style="842"/>
  </cols>
  <sheetData>
    <row r="1" spans="1:10" x14ac:dyDescent="0.2">
      <c r="E1" s="843"/>
    </row>
    <row r="2" spans="1:10" x14ac:dyDescent="0.2">
      <c r="A2" s="844">
        <v>1</v>
      </c>
      <c r="B2" s="845" t="s">
        <v>896</v>
      </c>
      <c r="C2" s="846"/>
      <c r="D2" s="846"/>
      <c r="E2" s="847">
        <v>70</v>
      </c>
      <c r="F2" s="846" t="s">
        <v>2141</v>
      </c>
      <c r="G2" s="846"/>
      <c r="H2" s="848"/>
      <c r="I2" s="2005" t="s">
        <v>2182</v>
      </c>
      <c r="J2" s="846"/>
    </row>
    <row r="3" spans="1:10" x14ac:dyDescent="0.2">
      <c r="A3" s="844">
        <v>2</v>
      </c>
      <c r="B3" s="846" t="s">
        <v>897</v>
      </c>
      <c r="C3" s="846"/>
      <c r="D3" s="849"/>
      <c r="E3" s="1924">
        <v>41</v>
      </c>
      <c r="F3" s="846"/>
      <c r="G3" s="846"/>
      <c r="H3" s="848" t="s">
        <v>898</v>
      </c>
      <c r="I3" s="2005"/>
      <c r="J3" s="846"/>
    </row>
    <row r="4" spans="1:10" x14ac:dyDescent="0.2">
      <c r="A4" s="844">
        <v>3</v>
      </c>
      <c r="B4" s="1909" t="s">
        <v>2142</v>
      </c>
      <c r="C4" s="1909"/>
      <c r="D4" s="1909"/>
      <c r="E4" s="1924">
        <v>389</v>
      </c>
      <c r="F4" s="1909" t="s">
        <v>899</v>
      </c>
      <c r="G4" s="846"/>
      <c r="H4" s="851"/>
      <c r="I4" s="846"/>
      <c r="J4" s="846"/>
    </row>
    <row r="5" spans="1:10" x14ac:dyDescent="0.2">
      <c r="A5" s="844">
        <v>4</v>
      </c>
      <c r="B5" s="1909" t="s">
        <v>900</v>
      </c>
      <c r="C5" s="1909"/>
      <c r="D5" s="1909"/>
      <c r="E5" s="1924">
        <v>418</v>
      </c>
      <c r="F5" s="1909" t="s">
        <v>901</v>
      </c>
      <c r="G5" s="846"/>
      <c r="H5" s="851"/>
      <c r="I5" s="846"/>
      <c r="J5" s="846"/>
    </row>
    <row r="6" spans="1:10" x14ac:dyDescent="0.2">
      <c r="A6" s="844">
        <v>5</v>
      </c>
      <c r="B6" s="1909" t="s">
        <v>902</v>
      </c>
      <c r="C6" s="1909"/>
      <c r="D6" s="1909"/>
      <c r="E6" s="1924">
        <v>750</v>
      </c>
      <c r="F6" s="1909" t="s">
        <v>901</v>
      </c>
      <c r="G6" s="1924">
        <v>305</v>
      </c>
      <c r="H6" s="846" t="s">
        <v>2089</v>
      </c>
      <c r="I6" s="846"/>
      <c r="J6" s="846"/>
    </row>
    <row r="7" spans="1:10" x14ac:dyDescent="0.2">
      <c r="A7" s="844">
        <v>6</v>
      </c>
      <c r="B7" s="846" t="s">
        <v>903</v>
      </c>
      <c r="C7" s="846"/>
      <c r="D7" s="849"/>
      <c r="E7" s="1924">
        <v>134</v>
      </c>
      <c r="F7" s="417"/>
      <c r="G7" s="846"/>
      <c r="H7" s="846"/>
      <c r="I7" s="846"/>
      <c r="J7" s="846"/>
    </row>
    <row r="8" spans="1:10" x14ac:dyDescent="0.2">
      <c r="A8" s="844">
        <v>7</v>
      </c>
      <c r="B8" s="852" t="s">
        <v>904</v>
      </c>
      <c r="C8" s="852"/>
      <c r="D8" s="846"/>
      <c r="E8" s="852">
        <v>420</v>
      </c>
      <c r="F8" s="846" t="s">
        <v>905</v>
      </c>
      <c r="G8" s="846"/>
      <c r="H8" s="846"/>
      <c r="I8" s="846"/>
      <c r="J8" s="846"/>
    </row>
    <row r="9" spans="1:10" x14ac:dyDescent="0.2">
      <c r="A9" s="844">
        <v>8</v>
      </c>
      <c r="B9" s="852" t="s">
        <v>906</v>
      </c>
      <c r="C9" s="852"/>
      <c r="D9" s="846"/>
      <c r="E9" s="852">
        <v>375</v>
      </c>
      <c r="F9" s="846" t="s">
        <v>905</v>
      </c>
      <c r="G9" s="846"/>
      <c r="H9" s="846"/>
      <c r="I9" s="846"/>
      <c r="J9" s="846"/>
    </row>
    <row r="10" spans="1:10" x14ac:dyDescent="0.2">
      <c r="A10" s="844">
        <v>9</v>
      </c>
      <c r="B10" s="852" t="s">
        <v>907</v>
      </c>
      <c r="C10" s="846"/>
      <c r="D10" s="846"/>
      <c r="E10" s="852">
        <v>320</v>
      </c>
      <c r="F10" s="846" t="s">
        <v>908</v>
      </c>
      <c r="G10" s="846"/>
      <c r="H10" s="846"/>
      <c r="I10" s="846"/>
      <c r="J10" s="846"/>
    </row>
    <row r="11" spans="1:10" x14ac:dyDescent="0.2">
      <c r="A11" s="844">
        <v>10</v>
      </c>
      <c r="B11" s="852" t="s">
        <v>909</v>
      </c>
      <c r="C11" s="846"/>
      <c r="D11" s="846"/>
      <c r="E11" s="852">
        <v>320</v>
      </c>
      <c r="F11" s="846" t="s">
        <v>908</v>
      </c>
      <c r="G11" s="846"/>
      <c r="H11" s="846"/>
      <c r="I11" s="846"/>
      <c r="J11" s="846"/>
    </row>
    <row r="12" spans="1:10" x14ac:dyDescent="0.2">
      <c r="A12" s="844">
        <v>11</v>
      </c>
      <c r="B12" s="846" t="s">
        <v>910</v>
      </c>
      <c r="C12" s="846"/>
      <c r="D12" s="846"/>
      <c r="E12" s="846">
        <v>1206</v>
      </c>
      <c r="F12" s="846" t="s">
        <v>911</v>
      </c>
      <c r="G12" s="846"/>
      <c r="H12" s="846"/>
      <c r="I12" s="846"/>
      <c r="J12" s="846"/>
    </row>
    <row r="13" spans="1:10" x14ac:dyDescent="0.2">
      <c r="A13" s="844">
        <v>12</v>
      </c>
      <c r="B13" s="846" t="s">
        <v>912</v>
      </c>
      <c r="C13" s="846"/>
      <c r="D13" s="846"/>
      <c r="E13" s="853">
        <v>2670</v>
      </c>
      <c r="F13" s="846" t="s">
        <v>911</v>
      </c>
      <c r="G13" s="417">
        <v>6302</v>
      </c>
      <c r="H13" s="846" t="s">
        <v>560</v>
      </c>
      <c r="I13" s="846" t="s">
        <v>2171</v>
      </c>
      <c r="J13" s="846"/>
    </row>
    <row r="14" spans="1:10" x14ac:dyDescent="0.2">
      <c r="A14" s="844">
        <v>13</v>
      </c>
      <c r="B14" s="846" t="s">
        <v>913</v>
      </c>
      <c r="C14" s="846"/>
      <c r="D14" s="846"/>
      <c r="E14" s="853">
        <v>116.48</v>
      </c>
      <c r="F14" s="846" t="s">
        <v>914</v>
      </c>
      <c r="G14" s="846"/>
      <c r="H14" s="846"/>
      <c r="I14" s="846"/>
      <c r="J14" s="846"/>
    </row>
    <row r="15" spans="1:10" x14ac:dyDescent="0.2">
      <c r="A15" s="844">
        <v>14</v>
      </c>
      <c r="B15" s="846" t="s">
        <v>915</v>
      </c>
      <c r="C15" s="846"/>
      <c r="D15" s="846"/>
      <c r="E15" s="846">
        <v>149.76</v>
      </c>
      <c r="F15" s="846" t="s">
        <v>916</v>
      </c>
      <c r="G15" s="846"/>
      <c r="H15" s="846"/>
      <c r="I15" s="846"/>
      <c r="J15" s="846"/>
    </row>
    <row r="16" spans="1:10" x14ac:dyDescent="0.2">
      <c r="A16" s="844">
        <v>15</v>
      </c>
      <c r="B16" s="846" t="s">
        <v>917</v>
      </c>
      <c r="C16" s="846"/>
      <c r="D16" s="846"/>
      <c r="E16" s="846">
        <v>199.68</v>
      </c>
      <c r="F16" s="846" t="s">
        <v>918</v>
      </c>
      <c r="G16" s="846"/>
      <c r="H16" s="846"/>
      <c r="I16" s="846"/>
      <c r="J16" s="846"/>
    </row>
    <row r="17" spans="1:11" x14ac:dyDescent="0.2">
      <c r="A17" s="844">
        <v>16</v>
      </c>
      <c r="B17" s="846" t="s">
        <v>919</v>
      </c>
      <c r="C17" s="846"/>
      <c r="D17" s="846"/>
      <c r="E17" s="853">
        <v>106.9</v>
      </c>
      <c r="F17" s="846" t="s">
        <v>916</v>
      </c>
      <c r="G17" s="846"/>
      <c r="H17" s="846"/>
      <c r="I17" s="846"/>
      <c r="J17" s="846"/>
    </row>
    <row r="18" spans="1:11" x14ac:dyDescent="0.2">
      <c r="A18" s="844">
        <v>17</v>
      </c>
      <c r="B18" s="846" t="s">
        <v>920</v>
      </c>
      <c r="C18" s="846" t="s">
        <v>2145</v>
      </c>
      <c r="D18" s="846"/>
      <c r="E18" s="853">
        <v>77</v>
      </c>
      <c r="F18" s="846" t="s">
        <v>921</v>
      </c>
      <c r="G18" s="846"/>
      <c r="H18" s="846"/>
      <c r="I18" s="846"/>
      <c r="J18" s="846"/>
    </row>
    <row r="19" spans="1:11" x14ac:dyDescent="0.2">
      <c r="A19" s="844">
        <v>18</v>
      </c>
      <c r="B19" s="1910" t="s">
        <v>922</v>
      </c>
      <c r="C19" s="1910"/>
      <c r="D19" s="1910"/>
      <c r="E19" s="1930">
        <v>6302</v>
      </c>
      <c r="F19" s="846" t="s">
        <v>923</v>
      </c>
      <c r="G19" s="846"/>
      <c r="H19" s="846"/>
      <c r="I19" s="846"/>
      <c r="J19" s="846"/>
    </row>
    <row r="20" spans="1:11" x14ac:dyDescent="0.2">
      <c r="A20" s="844">
        <v>19</v>
      </c>
      <c r="B20" s="1910" t="s">
        <v>924</v>
      </c>
      <c r="C20" s="1910"/>
      <c r="D20" s="1910"/>
      <c r="E20" s="1931">
        <v>3428</v>
      </c>
      <c r="F20" s="846" t="s">
        <v>901</v>
      </c>
      <c r="G20" s="846"/>
      <c r="H20" s="846"/>
      <c r="I20" s="846"/>
      <c r="J20" s="846"/>
    </row>
    <row r="21" spans="1:11" x14ac:dyDescent="0.2">
      <c r="A21" s="844">
        <v>20</v>
      </c>
      <c r="B21" s="846" t="s">
        <v>925</v>
      </c>
      <c r="C21" s="846"/>
      <c r="D21" s="846"/>
      <c r="E21" s="855">
        <v>1099</v>
      </c>
      <c r="F21" s="846" t="s">
        <v>926</v>
      </c>
      <c r="G21" s="1969"/>
      <c r="H21" s="1969"/>
      <c r="I21" s="1969"/>
      <c r="J21" s="1969" t="s">
        <v>2175</v>
      </c>
      <c r="K21" s="1928"/>
    </row>
    <row r="22" spans="1:11" x14ac:dyDescent="0.2">
      <c r="A22" s="844" t="s">
        <v>927</v>
      </c>
      <c r="B22" s="846" t="s">
        <v>928</v>
      </c>
      <c r="C22" s="846"/>
      <c r="D22" s="846"/>
      <c r="E22" s="855">
        <v>1206</v>
      </c>
      <c r="F22" s="846" t="s">
        <v>929</v>
      </c>
      <c r="G22" s="1969"/>
      <c r="H22" s="1969"/>
      <c r="I22" s="1969"/>
      <c r="J22" s="1969">
        <f>(3.66+0.61+0.61+0.61)</f>
        <v>5.4900000000000011</v>
      </c>
      <c r="K22" s="1928"/>
    </row>
    <row r="23" spans="1:11" x14ac:dyDescent="0.2">
      <c r="A23" s="844">
        <v>21</v>
      </c>
      <c r="B23" s="1910" t="s">
        <v>930</v>
      </c>
      <c r="C23" s="1910"/>
      <c r="D23" s="1910"/>
      <c r="E23" s="1931">
        <v>2041</v>
      </c>
      <c r="F23" s="846" t="s">
        <v>901</v>
      </c>
      <c r="G23" s="1969"/>
      <c r="H23" s="1969"/>
      <c r="I23" s="1969" t="s">
        <v>2174</v>
      </c>
      <c r="J23" s="1969" t="s">
        <v>2173</v>
      </c>
      <c r="K23" s="1928" t="s">
        <v>2176</v>
      </c>
    </row>
    <row r="24" spans="1:11" x14ac:dyDescent="0.2">
      <c r="A24" s="844">
        <v>22</v>
      </c>
      <c r="B24" s="1910" t="s">
        <v>2172</v>
      </c>
      <c r="C24" s="1910"/>
      <c r="D24" s="1910"/>
      <c r="E24" s="1966">
        <v>2381</v>
      </c>
      <c r="F24" s="846" t="s">
        <v>901</v>
      </c>
      <c r="G24" s="1970">
        <v>0.16666</v>
      </c>
      <c r="H24" s="1969">
        <f>341</f>
        <v>341</v>
      </c>
      <c r="I24" s="1969">
        <f>H24*G24*3</f>
        <v>170.49318</v>
      </c>
      <c r="J24" s="1969">
        <v>1870</v>
      </c>
      <c r="K24" s="1928">
        <f>ROUND(H24+I24+J24,0)</f>
        <v>2381</v>
      </c>
    </row>
    <row r="25" spans="1:11" x14ac:dyDescent="0.2">
      <c r="A25" s="844">
        <v>23</v>
      </c>
      <c r="B25" s="1911" t="s">
        <v>931</v>
      </c>
      <c r="C25" s="1910"/>
      <c r="D25" s="1910"/>
      <c r="E25" s="1966">
        <v>4572</v>
      </c>
      <c r="F25" s="846" t="s">
        <v>901</v>
      </c>
      <c r="G25" s="1969"/>
      <c r="H25" s="1969">
        <v>2002</v>
      </c>
      <c r="I25" s="1969">
        <f>G24*H25*3</f>
        <v>1000.95996</v>
      </c>
      <c r="J25" s="1969">
        <v>1569</v>
      </c>
      <c r="K25" s="1928">
        <f>ROUND(H25+I25+J25,0)</f>
        <v>4572</v>
      </c>
    </row>
    <row r="26" spans="1:11" x14ac:dyDescent="0.2">
      <c r="A26" s="844">
        <v>24</v>
      </c>
      <c r="B26" s="1911" t="s">
        <v>2090</v>
      </c>
      <c r="C26" s="1910"/>
      <c r="D26" s="1910"/>
      <c r="E26" s="1931">
        <v>2344</v>
      </c>
      <c r="F26" s="846" t="s">
        <v>901</v>
      </c>
      <c r="G26" s="1924">
        <v>1068</v>
      </c>
      <c r="H26" s="1910" t="s">
        <v>2091</v>
      </c>
      <c r="I26" s="846"/>
      <c r="J26" s="846"/>
    </row>
    <row r="27" spans="1:11" x14ac:dyDescent="0.2">
      <c r="A27" s="844">
        <v>25</v>
      </c>
      <c r="B27" s="1912" t="s">
        <v>932</v>
      </c>
      <c r="C27" s="1910"/>
      <c r="D27" s="1910"/>
      <c r="E27" s="1931">
        <v>410</v>
      </c>
      <c r="F27" s="846" t="s">
        <v>901</v>
      </c>
      <c r="G27" s="846"/>
      <c r="H27" s="846"/>
      <c r="I27" s="846"/>
      <c r="J27" s="846"/>
    </row>
    <row r="28" spans="1:11" x14ac:dyDescent="0.2">
      <c r="A28" s="844">
        <v>26</v>
      </c>
      <c r="B28" s="1911" t="s">
        <v>933</v>
      </c>
      <c r="C28" s="1910"/>
      <c r="D28" s="1910"/>
      <c r="E28" s="1931">
        <v>389</v>
      </c>
      <c r="F28" s="846" t="s">
        <v>901</v>
      </c>
      <c r="G28" s="856">
        <v>761</v>
      </c>
      <c r="H28" s="1969" t="s">
        <v>934</v>
      </c>
      <c r="I28" s="1969">
        <f>E28*G24*3</f>
        <v>194.49222000000003</v>
      </c>
      <c r="J28" s="1969">
        <v>178</v>
      </c>
      <c r="K28" s="1971">
        <f>ROUND(E28+I28+J28,0)</f>
        <v>761</v>
      </c>
    </row>
    <row r="29" spans="1:11" x14ac:dyDescent="0.2">
      <c r="A29" s="844">
        <v>27</v>
      </c>
      <c r="B29" s="1911" t="s">
        <v>935</v>
      </c>
      <c r="C29" s="1910"/>
      <c r="D29" s="1910"/>
      <c r="E29" s="1931">
        <v>399</v>
      </c>
      <c r="F29" s="846" t="s">
        <v>901</v>
      </c>
      <c r="G29" s="856">
        <v>781</v>
      </c>
      <c r="H29" s="1969" t="s">
        <v>934</v>
      </c>
      <c r="I29" s="1969">
        <f>E29*G24*3</f>
        <v>199.49201999999997</v>
      </c>
      <c r="J29" s="1969">
        <v>183</v>
      </c>
      <c r="K29" s="1971">
        <f>ROUND(E29+I29+J29,0)</f>
        <v>781</v>
      </c>
    </row>
    <row r="30" spans="1:11" x14ac:dyDescent="0.2">
      <c r="A30" s="844">
        <v>28</v>
      </c>
      <c r="B30" s="1911" t="s">
        <v>936</v>
      </c>
      <c r="C30" s="1910"/>
      <c r="D30" s="1910"/>
      <c r="E30" s="1966">
        <v>818</v>
      </c>
      <c r="F30" s="846" t="s">
        <v>901</v>
      </c>
      <c r="G30" s="857">
        <f>E5</f>
        <v>418</v>
      </c>
      <c r="H30" s="857" t="s">
        <v>937</v>
      </c>
      <c r="I30" s="1969">
        <f>E5*G24*3</f>
        <v>208.99164000000002</v>
      </c>
      <c r="J30" s="1969">
        <v>191</v>
      </c>
      <c r="K30" s="1971">
        <f>ROUND(E5+I30+J30,0)</f>
        <v>818</v>
      </c>
    </row>
    <row r="31" spans="1:11" x14ac:dyDescent="0.2">
      <c r="A31" s="844">
        <v>29</v>
      </c>
      <c r="B31" s="1910" t="s">
        <v>938</v>
      </c>
      <c r="C31" s="1910"/>
      <c r="D31" s="1910" t="s">
        <v>939</v>
      </c>
      <c r="E31" s="1931">
        <v>480</v>
      </c>
      <c r="F31" s="846" t="s">
        <v>901</v>
      </c>
      <c r="G31" s="846"/>
      <c r="H31" s="846"/>
      <c r="I31" s="846"/>
      <c r="J31" s="846"/>
    </row>
    <row r="32" spans="1:11" x14ac:dyDescent="0.2">
      <c r="A32" s="844">
        <v>30</v>
      </c>
      <c r="B32" s="846" t="s">
        <v>940</v>
      </c>
      <c r="C32" s="846"/>
      <c r="D32" s="846"/>
      <c r="E32" s="853">
        <v>338.6</v>
      </c>
      <c r="F32" s="858" t="s">
        <v>941</v>
      </c>
      <c r="G32" s="846" t="s">
        <v>942</v>
      </c>
      <c r="H32" s="846"/>
      <c r="I32" s="846"/>
      <c r="J32" s="846"/>
    </row>
    <row r="33" spans="1:10" x14ac:dyDescent="0.2">
      <c r="A33" s="844">
        <v>31</v>
      </c>
      <c r="B33" s="846" t="s">
        <v>943</v>
      </c>
      <c r="C33" s="846"/>
      <c r="D33" s="846" t="s">
        <v>944</v>
      </c>
      <c r="E33" s="853">
        <v>57</v>
      </c>
      <c r="F33" s="858" t="s">
        <v>945</v>
      </c>
      <c r="G33" s="846"/>
      <c r="H33" s="846"/>
      <c r="I33" s="846"/>
      <c r="J33" s="846"/>
    </row>
    <row r="34" spans="1:10" x14ac:dyDescent="0.2">
      <c r="A34" s="844">
        <v>32</v>
      </c>
      <c r="B34" s="846" t="s">
        <v>946</v>
      </c>
      <c r="C34" s="846"/>
      <c r="D34" s="846"/>
      <c r="E34" s="853">
        <v>69</v>
      </c>
      <c r="F34" s="858" t="s">
        <v>945</v>
      </c>
      <c r="G34" s="846"/>
      <c r="H34" s="859" t="s">
        <v>934</v>
      </c>
      <c r="I34" s="846"/>
      <c r="J34" s="846"/>
    </row>
    <row r="35" spans="1:10" x14ac:dyDescent="0.2">
      <c r="A35" s="844">
        <v>33</v>
      </c>
      <c r="B35" s="846" t="s">
        <v>947</v>
      </c>
      <c r="C35" s="846"/>
      <c r="D35" s="849"/>
      <c r="E35" s="854">
        <v>1115</v>
      </c>
      <c r="F35" s="846"/>
      <c r="G35" s="415">
        <f>1046*1.3</f>
        <v>1359.8</v>
      </c>
      <c r="H35" s="849">
        <v>1469</v>
      </c>
      <c r="I35" s="846"/>
      <c r="J35" s="846"/>
    </row>
    <row r="36" spans="1:10" ht="14.25" x14ac:dyDescent="0.2">
      <c r="A36" s="844">
        <v>34</v>
      </c>
      <c r="B36" s="860" t="s">
        <v>948</v>
      </c>
      <c r="C36" s="846"/>
      <c r="D36" s="846"/>
      <c r="E36" s="855">
        <v>2463</v>
      </c>
      <c r="F36" s="846" t="s">
        <v>929</v>
      </c>
      <c r="G36" s="846"/>
      <c r="H36" s="849">
        <f>H35*1.3</f>
        <v>1909.7</v>
      </c>
      <c r="I36" s="846"/>
      <c r="J36" s="846"/>
    </row>
    <row r="37" spans="1:10" x14ac:dyDescent="0.2">
      <c r="A37" s="844">
        <v>35</v>
      </c>
      <c r="B37" s="846" t="s">
        <v>949</v>
      </c>
      <c r="C37" s="846"/>
      <c r="D37" s="846"/>
      <c r="E37" s="855">
        <v>2192</v>
      </c>
      <c r="F37" s="846" t="s">
        <v>950</v>
      </c>
      <c r="G37" s="846"/>
      <c r="H37" s="846"/>
      <c r="I37" s="846"/>
      <c r="J37" s="846"/>
    </row>
    <row r="38" spans="1:10" x14ac:dyDescent="0.2">
      <c r="A38" s="844">
        <v>36</v>
      </c>
      <c r="B38" s="846" t="s">
        <v>951</v>
      </c>
      <c r="C38" s="846"/>
      <c r="D38" s="846"/>
      <c r="E38" s="861">
        <v>67</v>
      </c>
      <c r="F38" s="846"/>
      <c r="G38" s="846"/>
      <c r="H38" s="846"/>
      <c r="I38" s="1969">
        <f>E7/2</f>
        <v>67</v>
      </c>
      <c r="J38" s="846"/>
    </row>
    <row r="39" spans="1:10" x14ac:dyDescent="0.2">
      <c r="A39" s="844">
        <v>37</v>
      </c>
      <c r="B39" s="2006" t="s">
        <v>952</v>
      </c>
      <c r="C39" s="2006"/>
      <c r="D39" s="846"/>
      <c r="E39" s="862">
        <v>26000</v>
      </c>
      <c r="F39" s="846" t="s">
        <v>953</v>
      </c>
      <c r="G39" s="846"/>
      <c r="H39" s="846"/>
      <c r="I39" s="846"/>
      <c r="J39" s="846"/>
    </row>
    <row r="40" spans="1:10" x14ac:dyDescent="0.2">
      <c r="A40" s="844">
        <v>38</v>
      </c>
      <c r="B40" s="2006" t="s">
        <v>954</v>
      </c>
      <c r="C40" s="2006"/>
      <c r="D40" s="846"/>
      <c r="E40" s="862">
        <v>36570</v>
      </c>
      <c r="F40" s="846" t="s">
        <v>953</v>
      </c>
      <c r="G40" s="846"/>
      <c r="H40" s="846"/>
      <c r="I40" s="846"/>
      <c r="J40" s="846"/>
    </row>
    <row r="41" spans="1:10" x14ac:dyDescent="0.2">
      <c r="A41" s="844">
        <v>39</v>
      </c>
      <c r="B41" s="863" t="s">
        <v>955</v>
      </c>
      <c r="C41" s="863"/>
      <c r="D41" s="864"/>
      <c r="E41" s="865">
        <v>73.7</v>
      </c>
      <c r="F41" s="846" t="s">
        <v>953</v>
      </c>
      <c r="G41" s="846"/>
      <c r="H41" s="846"/>
      <c r="I41" s="846"/>
      <c r="J41" s="846"/>
    </row>
    <row r="42" spans="1:10" x14ac:dyDescent="0.2">
      <c r="A42" s="844">
        <v>40</v>
      </c>
      <c r="B42" s="2006" t="s">
        <v>2146</v>
      </c>
      <c r="C42" s="2006"/>
      <c r="D42" s="2006"/>
      <c r="E42" s="866">
        <v>22</v>
      </c>
      <c r="F42" s="846"/>
      <c r="G42" s="846"/>
      <c r="H42" s="846"/>
      <c r="I42" s="846"/>
      <c r="J42" s="846"/>
    </row>
    <row r="43" spans="1:10" x14ac:dyDescent="0.2">
      <c r="A43" s="844"/>
      <c r="B43" s="867" t="s">
        <v>956</v>
      </c>
      <c r="C43" s="867"/>
      <c r="D43" s="867"/>
      <c r="E43" s="868">
        <v>876</v>
      </c>
      <c r="F43" s="849">
        <v>876</v>
      </c>
      <c r="G43" s="849" t="s">
        <v>957</v>
      </c>
      <c r="H43" s="846"/>
      <c r="I43" s="846"/>
      <c r="J43" s="846"/>
    </row>
    <row r="44" spans="1:10" x14ac:dyDescent="0.2">
      <c r="A44" s="844">
        <v>41</v>
      </c>
      <c r="B44" s="1910" t="s">
        <v>958</v>
      </c>
      <c r="C44" s="1913"/>
      <c r="D44" s="1913"/>
      <c r="E44" s="1929">
        <v>158</v>
      </c>
      <c r="F44" s="1910" t="s">
        <v>2170</v>
      </c>
      <c r="G44" s="1910"/>
      <c r="H44" s="1910"/>
      <c r="I44" s="846"/>
      <c r="J44" s="846"/>
    </row>
    <row r="45" spans="1:10" x14ac:dyDescent="0.2">
      <c r="A45" s="844">
        <v>42</v>
      </c>
      <c r="B45" s="1910" t="s">
        <v>959</v>
      </c>
      <c r="C45" s="1913"/>
      <c r="D45" s="1913"/>
      <c r="E45" s="1929">
        <v>276</v>
      </c>
      <c r="F45" s="1910" t="s">
        <v>960</v>
      </c>
      <c r="G45" s="1910"/>
      <c r="H45" s="1910"/>
      <c r="I45" s="846"/>
      <c r="J45" s="846"/>
    </row>
    <row r="46" spans="1:10" x14ac:dyDescent="0.2">
      <c r="A46" s="844">
        <v>43</v>
      </c>
      <c r="B46" s="1910" t="s">
        <v>961</v>
      </c>
      <c r="C46" s="1913"/>
      <c r="D46" s="1913"/>
      <c r="E46" s="1929">
        <v>29</v>
      </c>
      <c r="F46" s="1910" t="s">
        <v>962</v>
      </c>
      <c r="G46" s="1910"/>
      <c r="H46" s="1910"/>
      <c r="I46" s="846"/>
      <c r="J46" s="846"/>
    </row>
    <row r="47" spans="1:10" x14ac:dyDescent="0.2">
      <c r="A47" s="844">
        <v>44</v>
      </c>
      <c r="B47" s="1910" t="s">
        <v>963</v>
      </c>
      <c r="C47" s="1913"/>
      <c r="D47" s="1913"/>
      <c r="E47" s="1929">
        <v>53</v>
      </c>
      <c r="F47" s="1910" t="s">
        <v>964</v>
      </c>
      <c r="G47" s="1910" t="s">
        <v>965</v>
      </c>
      <c r="H47" s="1910"/>
      <c r="I47" s="846"/>
      <c r="J47" s="846"/>
    </row>
    <row r="48" spans="1:10" x14ac:dyDescent="0.2">
      <c r="A48" s="844">
        <v>45</v>
      </c>
      <c r="B48" s="1913" t="s">
        <v>2150</v>
      </c>
      <c r="C48" s="1913"/>
      <c r="D48" s="1913"/>
      <c r="E48" s="1929">
        <v>2861</v>
      </c>
      <c r="F48" s="1910" t="s">
        <v>966</v>
      </c>
      <c r="G48" s="1910"/>
      <c r="H48" s="1910"/>
      <c r="I48" s="846"/>
      <c r="J48" s="846"/>
    </row>
    <row r="49" spans="1:15" x14ac:dyDescent="0.2">
      <c r="A49" s="844">
        <v>46</v>
      </c>
      <c r="B49" s="867" t="s">
        <v>967</v>
      </c>
      <c r="C49" s="867"/>
      <c r="D49" s="867"/>
      <c r="E49" s="869">
        <v>480</v>
      </c>
      <c r="F49" s="846"/>
      <c r="G49" s="846"/>
      <c r="H49" s="846"/>
      <c r="I49" s="846"/>
      <c r="J49" s="846"/>
    </row>
    <row r="50" spans="1:15" x14ac:dyDescent="0.2">
      <c r="A50" s="844">
        <v>47</v>
      </c>
      <c r="B50" s="1910" t="s">
        <v>968</v>
      </c>
      <c r="C50" s="846"/>
      <c r="D50" s="846"/>
      <c r="E50" s="1929">
        <v>75</v>
      </c>
      <c r="F50" s="846" t="s">
        <v>2088</v>
      </c>
      <c r="G50" s="846"/>
      <c r="H50" s="846"/>
      <c r="I50" s="846"/>
      <c r="J50" s="846"/>
    </row>
    <row r="51" spans="1:15" x14ac:dyDescent="0.2">
      <c r="A51" s="844">
        <v>48</v>
      </c>
      <c r="B51" s="846" t="s">
        <v>969</v>
      </c>
      <c r="C51" s="846"/>
      <c r="D51" s="846"/>
      <c r="E51" s="869">
        <v>556.79999999999995</v>
      </c>
      <c r="F51" s="846"/>
      <c r="G51" s="846"/>
      <c r="H51" s="846"/>
      <c r="I51" s="846"/>
      <c r="J51" s="846"/>
    </row>
    <row r="52" spans="1:15" x14ac:dyDescent="0.2">
      <c r="A52" s="844"/>
      <c r="B52" s="870"/>
      <c r="C52" s="871" t="s">
        <v>159</v>
      </c>
      <c r="D52" s="872" t="s">
        <v>140</v>
      </c>
      <c r="E52" s="846"/>
      <c r="F52" s="873"/>
      <c r="G52" s="846"/>
      <c r="H52" s="846"/>
      <c r="I52" s="846"/>
      <c r="J52" s="846"/>
    </row>
    <row r="53" spans="1:15" ht="157.5" x14ac:dyDescent="0.2">
      <c r="A53" s="844"/>
      <c r="B53" s="874">
        <v>1</v>
      </c>
      <c r="C53" s="875">
        <v>2</v>
      </c>
      <c r="D53" s="876">
        <v>4.8499999999999996</v>
      </c>
      <c r="E53" s="873">
        <v>53</v>
      </c>
      <c r="F53" s="846"/>
      <c r="G53" s="846"/>
      <c r="H53" s="877" t="s">
        <v>749</v>
      </c>
      <c r="I53" s="878" t="s">
        <v>970</v>
      </c>
      <c r="J53" s="846" t="s">
        <v>2147</v>
      </c>
    </row>
    <row r="54" spans="1:15" ht="15" x14ac:dyDescent="0.25">
      <c r="A54" s="844"/>
      <c r="B54" s="874">
        <v>2</v>
      </c>
      <c r="C54" s="875">
        <v>5</v>
      </c>
      <c r="D54" s="876">
        <v>4.01</v>
      </c>
      <c r="E54" s="873">
        <v>53</v>
      </c>
      <c r="F54" s="846"/>
      <c r="G54" s="846"/>
      <c r="H54" s="879">
        <v>80</v>
      </c>
      <c r="I54" s="880">
        <f t="shared" ref="I54:I65" si="0">ROUND(J54*1.05,0)</f>
        <v>11025</v>
      </c>
      <c r="J54" s="1918">
        <v>10500</v>
      </c>
    </row>
    <row r="55" spans="1:15" ht="15" x14ac:dyDescent="0.25">
      <c r="A55" s="844"/>
      <c r="B55" s="874">
        <v>3</v>
      </c>
      <c r="C55" s="875">
        <v>10</v>
      </c>
      <c r="D55" s="876">
        <v>3.53</v>
      </c>
      <c r="E55" s="873">
        <v>53</v>
      </c>
      <c r="F55" s="846"/>
      <c r="G55" s="846"/>
      <c r="H55" s="879">
        <v>100</v>
      </c>
      <c r="I55" s="880">
        <f t="shared" si="0"/>
        <v>12368</v>
      </c>
      <c r="J55" s="1918">
        <v>11779</v>
      </c>
      <c r="L55" s="1919" t="s">
        <v>2075</v>
      </c>
    </row>
    <row r="56" spans="1:15" ht="15" x14ac:dyDescent="0.25">
      <c r="A56" s="844"/>
      <c r="B56" s="874">
        <v>4</v>
      </c>
      <c r="C56" s="875">
        <v>20</v>
      </c>
      <c r="D56" s="876">
        <v>3.09</v>
      </c>
      <c r="E56" s="873">
        <v>53</v>
      </c>
      <c r="F56" s="846"/>
      <c r="G56" s="846"/>
      <c r="H56" s="1916">
        <v>125</v>
      </c>
      <c r="I56" s="1917">
        <f t="shared" si="0"/>
        <v>15843</v>
      </c>
      <c r="J56" s="1918">
        <v>15089</v>
      </c>
      <c r="L56" s="1919">
        <f>J55*1.25</f>
        <v>14723.75</v>
      </c>
    </row>
    <row r="57" spans="1:15" ht="15" x14ac:dyDescent="0.25">
      <c r="A57" s="844"/>
      <c r="B57" s="874">
        <v>5</v>
      </c>
      <c r="C57" s="875">
        <v>30</v>
      </c>
      <c r="D57" s="876">
        <v>2.71</v>
      </c>
      <c r="E57" s="873">
        <v>53</v>
      </c>
      <c r="F57" s="846"/>
      <c r="G57" s="846"/>
      <c r="H57" s="879">
        <v>150</v>
      </c>
      <c r="I57" s="880">
        <f t="shared" si="0"/>
        <v>19473</v>
      </c>
      <c r="J57" s="1918">
        <v>18546</v>
      </c>
      <c r="L57" s="1919">
        <f>(L56+L58)/2</f>
        <v>15089.375</v>
      </c>
    </row>
    <row r="58" spans="1:15" ht="15" x14ac:dyDescent="0.25">
      <c r="A58" s="844"/>
      <c r="B58" s="874">
        <v>6</v>
      </c>
      <c r="C58" s="875">
        <v>40</v>
      </c>
      <c r="D58" s="876">
        <v>2.71</v>
      </c>
      <c r="E58" s="873">
        <v>53</v>
      </c>
      <c r="F58" s="846"/>
      <c r="G58" s="846"/>
      <c r="H58" s="879">
        <v>200</v>
      </c>
      <c r="I58" s="880">
        <f t="shared" si="0"/>
        <v>28613</v>
      </c>
      <c r="J58" s="1918">
        <v>27250</v>
      </c>
      <c r="L58" s="1919">
        <f>J57*1.25/1.5</f>
        <v>15455</v>
      </c>
    </row>
    <row r="59" spans="1:15" ht="15" x14ac:dyDescent="0.25">
      <c r="A59" s="844"/>
      <c r="B59" s="870"/>
      <c r="C59" s="871" t="s">
        <v>971</v>
      </c>
      <c r="D59" s="876">
        <v>6400</v>
      </c>
      <c r="E59" s="881"/>
      <c r="F59" s="873"/>
      <c r="G59" s="846"/>
      <c r="H59" s="879">
        <v>250</v>
      </c>
      <c r="I59" s="880">
        <f t="shared" si="0"/>
        <v>36488</v>
      </c>
      <c r="J59" s="1918">
        <v>34750</v>
      </c>
    </row>
    <row r="60" spans="1:15" ht="15" x14ac:dyDescent="0.25">
      <c r="A60" s="844"/>
      <c r="B60" s="870"/>
      <c r="C60" s="871" t="s">
        <v>972</v>
      </c>
      <c r="D60" s="876">
        <v>42000</v>
      </c>
      <c r="E60" s="881"/>
      <c r="F60" s="882"/>
      <c r="G60" s="846"/>
      <c r="H60" s="879">
        <v>300</v>
      </c>
      <c r="I60" s="880">
        <f t="shared" si="0"/>
        <v>67740</v>
      </c>
      <c r="J60" s="1918">
        <v>64514</v>
      </c>
    </row>
    <row r="61" spans="1:15" ht="15" x14ac:dyDescent="0.25">
      <c r="A61" s="844"/>
      <c r="B61" s="870"/>
      <c r="C61" s="871"/>
      <c r="D61" s="883"/>
      <c r="E61" s="881"/>
      <c r="F61" s="882"/>
      <c r="G61" s="846"/>
      <c r="H61" s="871">
        <v>350</v>
      </c>
      <c r="I61" s="880">
        <f t="shared" si="0"/>
        <v>94238</v>
      </c>
      <c r="J61" s="1918">
        <v>89750</v>
      </c>
    </row>
    <row r="62" spans="1:15" ht="15" x14ac:dyDescent="0.25">
      <c r="A62" s="844"/>
      <c r="B62" s="844" t="s">
        <v>228</v>
      </c>
      <c r="C62" s="846"/>
      <c r="D62" s="846"/>
      <c r="E62" s="846"/>
      <c r="F62" s="846"/>
      <c r="G62" s="846"/>
      <c r="H62" s="871">
        <v>400</v>
      </c>
      <c r="I62" s="880">
        <f t="shared" si="0"/>
        <v>120488</v>
      </c>
      <c r="J62" s="1918">
        <v>114750</v>
      </c>
      <c r="M62" s="884" t="s">
        <v>973</v>
      </c>
    </row>
    <row r="63" spans="1:15" ht="15.75" customHeight="1" thickBot="1" x14ac:dyDescent="0.3">
      <c r="A63" s="844"/>
      <c r="B63" s="885">
        <v>10000</v>
      </c>
      <c r="C63" s="886">
        <v>65.56</v>
      </c>
      <c r="D63" s="846" t="s">
        <v>974</v>
      </c>
      <c r="E63" s="846"/>
      <c r="F63" s="877"/>
      <c r="G63" s="877"/>
      <c r="H63" s="871">
        <v>450</v>
      </c>
      <c r="I63" s="880">
        <f t="shared" si="0"/>
        <v>197925</v>
      </c>
      <c r="J63" s="1920">
        <v>188500</v>
      </c>
      <c r="K63" s="887"/>
      <c r="L63" s="887"/>
      <c r="M63" s="888"/>
      <c r="N63" s="889" t="s">
        <v>975</v>
      </c>
      <c r="O63" s="890">
        <f>C63</f>
        <v>65.56</v>
      </c>
    </row>
    <row r="64" spans="1:15" ht="15.75" customHeight="1" thickBot="1" x14ac:dyDescent="0.35">
      <c r="A64" s="844"/>
      <c r="B64" s="885">
        <v>15000</v>
      </c>
      <c r="C64" s="891">
        <v>45.09</v>
      </c>
      <c r="D64" s="846"/>
      <c r="E64" s="846"/>
      <c r="F64" s="879"/>
      <c r="G64" s="892"/>
      <c r="H64" s="871">
        <v>500</v>
      </c>
      <c r="I64" s="880">
        <f t="shared" si="0"/>
        <v>253050</v>
      </c>
      <c r="J64" s="1921">
        <v>241000</v>
      </c>
      <c r="K64" s="893"/>
      <c r="L64" s="893"/>
      <c r="M64" s="893"/>
      <c r="N64" s="889" t="s">
        <v>976</v>
      </c>
      <c r="O64" s="890">
        <f t="shared" ref="O64:O67" si="1">C64</f>
        <v>45.09</v>
      </c>
    </row>
    <row r="65" spans="1:19" ht="15.75" customHeight="1" thickBot="1" x14ac:dyDescent="0.35">
      <c r="A65" s="844"/>
      <c r="B65" s="894">
        <v>20000</v>
      </c>
      <c r="C65" s="895">
        <v>44.31</v>
      </c>
      <c r="D65" s="846"/>
      <c r="E65" s="846"/>
      <c r="F65" s="879"/>
      <c r="G65" s="892"/>
      <c r="H65" s="871">
        <v>600</v>
      </c>
      <c r="I65" s="880">
        <f t="shared" si="0"/>
        <v>358050</v>
      </c>
      <c r="J65" s="1921">
        <v>341000</v>
      </c>
      <c r="K65" s="893"/>
      <c r="L65" s="893"/>
      <c r="M65" s="893"/>
      <c r="N65" s="889" t="s">
        <v>977</v>
      </c>
      <c r="O65" s="890">
        <f t="shared" si="1"/>
        <v>44.31</v>
      </c>
      <c r="Q65" s="896"/>
      <c r="R65" s="897"/>
    </row>
    <row r="66" spans="1:19" ht="15.75" customHeight="1" thickBot="1" x14ac:dyDescent="0.35">
      <c r="A66" s="844"/>
      <c r="B66" s="894">
        <v>40000</v>
      </c>
      <c r="C66" s="898">
        <v>39.22</v>
      </c>
      <c r="D66" s="846"/>
      <c r="E66" s="846"/>
      <c r="F66" s="879"/>
      <c r="G66" s="892"/>
      <c r="H66" s="892"/>
      <c r="I66" s="892"/>
      <c r="J66" s="892"/>
      <c r="K66" s="893"/>
      <c r="L66" s="893"/>
      <c r="M66" s="893"/>
      <c r="N66" s="889" t="s">
        <v>978</v>
      </c>
      <c r="O66" s="890">
        <f t="shared" si="1"/>
        <v>39.22</v>
      </c>
      <c r="Q66" s="896"/>
      <c r="R66" s="897"/>
    </row>
    <row r="67" spans="1:19" ht="15.75" customHeight="1" thickBot="1" x14ac:dyDescent="0.35">
      <c r="A67" s="844"/>
      <c r="B67" s="894">
        <v>60000</v>
      </c>
      <c r="C67" s="899">
        <v>29.76</v>
      </c>
      <c r="D67" s="846"/>
      <c r="E67" s="846"/>
      <c r="F67" s="879"/>
      <c r="G67" s="892"/>
      <c r="H67" s="892"/>
      <c r="I67" s="892"/>
      <c r="J67" s="892"/>
      <c r="K67" s="893"/>
      <c r="L67" s="893"/>
      <c r="M67" s="893"/>
      <c r="N67" s="889" t="s">
        <v>979</v>
      </c>
      <c r="O67" s="890">
        <f t="shared" si="1"/>
        <v>29.76</v>
      </c>
      <c r="Q67" s="896"/>
      <c r="R67" s="897"/>
    </row>
    <row r="68" spans="1:19" ht="15.75" customHeight="1" thickBot="1" x14ac:dyDescent="0.35">
      <c r="A68" s="844"/>
      <c r="B68" s="894">
        <v>90000</v>
      </c>
      <c r="C68" s="900">
        <v>28.0425</v>
      </c>
      <c r="D68" s="846"/>
      <c r="E68" s="846"/>
      <c r="F68" s="879"/>
      <c r="G68" s="846"/>
      <c r="H68" s="892"/>
      <c r="I68" s="892"/>
      <c r="J68" s="892"/>
      <c r="K68" s="893"/>
      <c r="L68" s="893"/>
      <c r="M68" s="893"/>
      <c r="N68" s="889" t="s">
        <v>980</v>
      </c>
      <c r="O68" s="890">
        <v>27.47</v>
      </c>
      <c r="P68" s="842">
        <f>O67-O68</f>
        <v>2.2900000000000027</v>
      </c>
      <c r="Q68" s="896">
        <f>P68/4</f>
        <v>0.57250000000000068</v>
      </c>
      <c r="R68" s="897">
        <f>O68+Q68</f>
        <v>28.0425</v>
      </c>
      <c r="S68" s="842" t="s">
        <v>981</v>
      </c>
    </row>
    <row r="69" spans="1:19" ht="15.75" customHeight="1" thickBot="1" x14ac:dyDescent="0.35">
      <c r="A69" s="844"/>
      <c r="B69" s="894">
        <v>120000</v>
      </c>
      <c r="C69" s="900">
        <v>26.786000000000001</v>
      </c>
      <c r="D69" s="846"/>
      <c r="E69" s="846"/>
      <c r="F69" s="879"/>
      <c r="G69" s="846"/>
      <c r="H69" s="892"/>
      <c r="I69" s="892" t="s">
        <v>982</v>
      </c>
      <c r="J69" s="892"/>
      <c r="K69" s="893"/>
      <c r="L69" s="893"/>
      <c r="M69" s="893"/>
      <c r="N69" s="889" t="s">
        <v>983</v>
      </c>
      <c r="O69" s="1954">
        <f>C71</f>
        <v>24.05</v>
      </c>
      <c r="P69" s="842">
        <f>O68-O69</f>
        <v>3.4199999999999982</v>
      </c>
      <c r="Q69" s="896">
        <f>P69/10</f>
        <v>0.3419999999999998</v>
      </c>
      <c r="R69" s="897">
        <f>O68-Q69*2</f>
        <v>26.785999999999998</v>
      </c>
      <c r="S69" s="842" t="s">
        <v>984</v>
      </c>
    </row>
    <row r="70" spans="1:19" ht="15.75" customHeight="1" thickBot="1" x14ac:dyDescent="0.35">
      <c r="A70" s="844"/>
      <c r="B70" s="894">
        <v>150000</v>
      </c>
      <c r="C70" s="900">
        <v>25.97</v>
      </c>
      <c r="D70" s="846"/>
      <c r="E70" s="846"/>
      <c r="F70" s="879"/>
      <c r="G70" s="846"/>
      <c r="H70" s="892"/>
      <c r="I70" s="892"/>
      <c r="J70" s="892"/>
      <c r="K70" s="893"/>
      <c r="L70" s="893"/>
      <c r="M70" s="893"/>
      <c r="N70" s="889" t="s">
        <v>985</v>
      </c>
      <c r="O70" s="1954">
        <f>C73</f>
        <v>22.57</v>
      </c>
      <c r="P70" s="842">
        <f>O69-O70</f>
        <v>1.4800000000000004</v>
      </c>
      <c r="Q70" s="896"/>
      <c r="R70" s="897">
        <f>O68-1.5</f>
        <v>25.97</v>
      </c>
      <c r="S70" s="842" t="s">
        <v>986</v>
      </c>
    </row>
    <row r="71" spans="1:19" ht="15.75" customHeight="1" thickBot="1" x14ac:dyDescent="0.35">
      <c r="A71" s="844"/>
      <c r="B71" s="894">
        <v>200000</v>
      </c>
      <c r="C71" s="899">
        <v>24.05</v>
      </c>
      <c r="D71" s="846"/>
      <c r="E71" s="846"/>
      <c r="F71" s="871"/>
      <c r="G71" s="846"/>
      <c r="H71" s="892"/>
      <c r="I71" s="892"/>
      <c r="J71" s="892"/>
      <c r="K71" s="893"/>
      <c r="L71" s="893"/>
      <c r="M71" s="893"/>
      <c r="N71" s="889" t="s">
        <v>987</v>
      </c>
      <c r="O71" s="890">
        <v>19.899999999999999</v>
      </c>
      <c r="Q71" s="896">
        <f>P70/2</f>
        <v>0.74000000000000021</v>
      </c>
      <c r="R71" s="897">
        <f>O69-Q71</f>
        <v>23.310000000000002</v>
      </c>
      <c r="S71" s="842" t="s">
        <v>988</v>
      </c>
    </row>
    <row r="72" spans="1:19" ht="15.75" customHeight="1" thickBot="1" x14ac:dyDescent="0.35">
      <c r="A72" s="844"/>
      <c r="B72" s="894">
        <v>250000</v>
      </c>
      <c r="C72" s="900">
        <v>23.31</v>
      </c>
      <c r="D72" s="846"/>
      <c r="E72" s="846"/>
      <c r="F72" s="871"/>
      <c r="G72" s="892"/>
      <c r="H72" s="892"/>
      <c r="I72" s="892"/>
      <c r="J72" s="892"/>
      <c r="K72" s="893"/>
      <c r="L72" s="893"/>
      <c r="M72" s="893"/>
      <c r="N72" s="889" t="s">
        <v>989</v>
      </c>
      <c r="O72" s="890">
        <v>17.25</v>
      </c>
      <c r="Q72" s="901"/>
      <c r="R72" s="897"/>
    </row>
    <row r="73" spans="1:19" ht="15.75" customHeight="1" x14ac:dyDescent="0.3">
      <c r="A73" s="844"/>
      <c r="B73" s="894">
        <v>300000</v>
      </c>
      <c r="C73" s="899">
        <v>22.57</v>
      </c>
      <c r="D73" s="846"/>
      <c r="E73" s="846"/>
      <c r="F73" s="871"/>
      <c r="G73" s="892"/>
      <c r="H73" s="892"/>
      <c r="I73" s="892"/>
      <c r="J73" s="892"/>
      <c r="K73" s="893"/>
      <c r="L73" s="893"/>
      <c r="M73" s="893"/>
      <c r="N73" s="893"/>
      <c r="O73" s="901"/>
      <c r="Q73" s="901"/>
      <c r="R73" s="897"/>
    </row>
    <row r="74" spans="1:19" ht="15.75" customHeight="1" x14ac:dyDescent="0.3">
      <c r="A74" s="844"/>
      <c r="B74" s="881" t="s">
        <v>778</v>
      </c>
      <c r="C74" s="883">
        <v>6400</v>
      </c>
      <c r="D74" s="846"/>
      <c r="E74" s="846"/>
      <c r="F74" s="871"/>
      <c r="G74" s="892"/>
      <c r="H74" s="892"/>
      <c r="I74" s="892"/>
      <c r="J74" s="892"/>
      <c r="K74" s="893"/>
      <c r="L74" s="893"/>
      <c r="M74" s="893"/>
      <c r="N74" s="893"/>
      <c r="O74" s="901"/>
      <c r="Q74" s="901"/>
      <c r="R74" s="897"/>
    </row>
    <row r="75" spans="1:19" ht="15.75" customHeight="1" x14ac:dyDescent="0.3">
      <c r="A75" s="844"/>
      <c r="B75" s="881" t="s">
        <v>990</v>
      </c>
      <c r="C75" s="883">
        <v>42000</v>
      </c>
      <c r="D75" s="846"/>
      <c r="E75" s="846"/>
      <c r="F75" s="871"/>
      <c r="G75" s="892"/>
      <c r="H75" s="892"/>
      <c r="I75" s="892"/>
      <c r="J75" s="892"/>
      <c r="K75" s="893"/>
      <c r="L75" s="893"/>
      <c r="M75" s="893"/>
      <c r="N75" s="893"/>
      <c r="O75" s="901"/>
      <c r="Q75" s="901"/>
      <c r="R75" s="897"/>
    </row>
    <row r="76" spans="1:19" ht="15" x14ac:dyDescent="0.25">
      <c r="A76" s="844"/>
      <c r="B76" s="846"/>
      <c r="C76" s="846"/>
      <c r="D76" s="846"/>
      <c r="E76" s="846"/>
      <c r="F76" s="846"/>
      <c r="G76" s="846"/>
      <c r="H76" s="846"/>
      <c r="I76" s="846"/>
      <c r="J76" s="846"/>
      <c r="K76" s="897"/>
      <c r="L76" s="897"/>
      <c r="M76" s="897"/>
      <c r="N76" s="897"/>
      <c r="O76" s="897"/>
      <c r="Q76" s="901"/>
      <c r="R76" s="897"/>
    </row>
    <row r="77" spans="1:19" x14ac:dyDescent="0.2">
      <c r="A77" s="844"/>
      <c r="B77" s="846"/>
      <c r="C77" s="846"/>
      <c r="D77" s="846"/>
      <c r="E77" s="846"/>
      <c r="F77" s="846"/>
      <c r="G77" s="846"/>
      <c r="H77" s="846"/>
      <c r="I77" s="846"/>
      <c r="J77" s="846"/>
      <c r="Q77" s="897"/>
      <c r="R77" s="897"/>
    </row>
    <row r="78" spans="1:19" x14ac:dyDescent="0.2">
      <c r="A78" s="844"/>
      <c r="B78" s="846"/>
      <c r="C78" s="846"/>
      <c r="D78" s="846"/>
      <c r="E78" s="846"/>
      <c r="F78" s="846"/>
      <c r="G78" s="846"/>
      <c r="H78" s="846"/>
      <c r="I78" s="846"/>
      <c r="J78" s="846"/>
      <c r="Q78" s="897"/>
      <c r="R78" s="897"/>
    </row>
    <row r="79" spans="1:19" x14ac:dyDescent="0.2">
      <c r="A79" s="844"/>
      <c r="B79" s="846"/>
      <c r="C79" s="846"/>
      <c r="D79" s="846"/>
      <c r="E79" s="846"/>
      <c r="F79" s="846"/>
      <c r="G79" s="846"/>
      <c r="H79" s="846"/>
      <c r="I79" s="846"/>
      <c r="J79" s="846"/>
      <c r="Q79" s="897"/>
      <c r="R79" s="897"/>
    </row>
    <row r="80" spans="1:19" ht="15" x14ac:dyDescent="0.25">
      <c r="A80" s="844"/>
      <c r="B80" s="2007" t="s">
        <v>2148</v>
      </c>
      <c r="C80" s="2007"/>
      <c r="D80" s="2007"/>
      <c r="E80" s="2007"/>
      <c r="F80" s="894"/>
      <c r="G80" s="894"/>
      <c r="H80" s="894"/>
      <c r="I80" s="846"/>
      <c r="J80" s="846"/>
      <c r="Q80" s="897"/>
      <c r="R80" s="897"/>
    </row>
    <row r="81" spans="1:11" ht="15" x14ac:dyDescent="0.25">
      <c r="A81" s="844"/>
      <c r="B81" s="902" t="s">
        <v>991</v>
      </c>
      <c r="C81" s="902"/>
      <c r="D81" s="902"/>
      <c r="E81" s="903"/>
      <c r="F81" s="894"/>
      <c r="G81" s="894"/>
      <c r="H81" s="894"/>
      <c r="I81" s="846"/>
      <c r="J81" s="846"/>
    </row>
    <row r="82" spans="1:11" ht="15.75" x14ac:dyDescent="0.25">
      <c r="A82" s="844">
        <v>107.9</v>
      </c>
      <c r="B82" s="902" t="s">
        <v>992</v>
      </c>
      <c r="C82" s="902">
        <v>107.9</v>
      </c>
      <c r="D82" s="904">
        <v>125.2</v>
      </c>
      <c r="E82" s="903">
        <v>0</v>
      </c>
      <c r="F82" s="894"/>
      <c r="G82" s="894"/>
      <c r="H82" s="894"/>
      <c r="I82" s="846"/>
      <c r="J82" s="846"/>
    </row>
    <row r="83" spans="1:11" ht="15.75" x14ac:dyDescent="0.25">
      <c r="A83" s="844"/>
      <c r="B83" s="902" t="s">
        <v>993</v>
      </c>
      <c r="C83" s="902">
        <v>38.700000000000003</v>
      </c>
      <c r="D83" s="904">
        <v>62.6</v>
      </c>
      <c r="E83" s="903">
        <v>212</v>
      </c>
      <c r="F83" s="894"/>
      <c r="G83" s="894" t="s">
        <v>994</v>
      </c>
      <c r="H83" s="894" t="s">
        <v>995</v>
      </c>
      <c r="I83" s="846"/>
      <c r="J83" s="846"/>
    </row>
    <row r="84" spans="1:11" ht="15" x14ac:dyDescent="0.25">
      <c r="A84" s="844"/>
      <c r="B84" s="902"/>
      <c r="C84" s="905">
        <f>SUM(C82:C83)</f>
        <v>146.60000000000002</v>
      </c>
      <c r="D84" s="905">
        <f>SUM(D82:D83)</f>
        <v>187.8</v>
      </c>
      <c r="E84" s="905">
        <f>SUM(E82:E83)</f>
        <v>212</v>
      </c>
      <c r="F84" s="894"/>
      <c r="G84" s="894"/>
      <c r="H84" s="1914">
        <v>117.7</v>
      </c>
      <c r="I84" s="1914" t="s">
        <v>996</v>
      </c>
      <c r="J84" s="1915" t="s">
        <v>997</v>
      </c>
    </row>
    <row r="85" spans="1:11" ht="15" x14ac:dyDescent="0.25">
      <c r="A85" s="844"/>
      <c r="B85" s="906" t="s">
        <v>998</v>
      </c>
      <c r="C85" s="907" t="s">
        <v>276</v>
      </c>
      <c r="D85" s="906" t="s">
        <v>999</v>
      </c>
      <c r="E85" s="908" t="s">
        <v>1000</v>
      </c>
      <c r="F85" s="894"/>
      <c r="G85" s="894"/>
      <c r="H85" s="1914">
        <f>11.83*15</f>
        <v>177.45</v>
      </c>
      <c r="I85" s="1914" t="s">
        <v>1001</v>
      </c>
      <c r="J85" s="1915"/>
    </row>
    <row r="86" spans="1:11" ht="15" x14ac:dyDescent="0.25">
      <c r="A86" s="909"/>
      <c r="B86" s="910">
        <v>0.25</v>
      </c>
      <c r="C86" s="911">
        <f>$C$84+31</f>
        <v>177.60000000000002</v>
      </c>
      <c r="D86" s="911">
        <f>$D$84+29.9</f>
        <v>217.70000000000002</v>
      </c>
      <c r="E86" s="911">
        <f>$E$84+49.8</f>
        <v>261.8</v>
      </c>
      <c r="F86" s="236"/>
      <c r="G86" s="912">
        <f>D86-$D$82</f>
        <v>92.500000000000014</v>
      </c>
      <c r="H86" s="1914">
        <f>9.86*140</f>
        <v>1380.3999999999999</v>
      </c>
      <c r="I86" s="1914" t="s">
        <v>1002</v>
      </c>
      <c r="J86" s="1915"/>
    </row>
    <row r="87" spans="1:11" ht="15" x14ac:dyDescent="0.25">
      <c r="A87" s="909"/>
      <c r="B87" s="910">
        <v>0.5</v>
      </c>
      <c r="C87" s="911">
        <f>$C$84+31</f>
        <v>177.60000000000002</v>
      </c>
      <c r="D87" s="911">
        <f>$D$84+29.9</f>
        <v>217.70000000000002</v>
      </c>
      <c r="E87" s="911">
        <f>$E$84+49.8</f>
        <v>261.8</v>
      </c>
      <c r="F87" s="236"/>
      <c r="G87" s="912">
        <f t="shared" ref="G87:G150" si="2">D87-$D$82</f>
        <v>92.500000000000014</v>
      </c>
      <c r="H87" s="1914">
        <f>SUM(H84:H86)</f>
        <v>1675.5499999999997</v>
      </c>
      <c r="I87" s="1914" t="s">
        <v>1003</v>
      </c>
      <c r="J87" s="1915"/>
    </row>
    <row r="88" spans="1:11" ht="15" x14ac:dyDescent="0.25">
      <c r="A88" s="909"/>
      <c r="B88" s="910">
        <v>1</v>
      </c>
      <c r="C88" s="911">
        <f>$C$84+31</f>
        <v>177.60000000000002</v>
      </c>
      <c r="D88" s="911">
        <f>$D$84+29.9</f>
        <v>217.70000000000002</v>
      </c>
      <c r="E88" s="911">
        <f>$E$84+49.8</f>
        <v>261.8</v>
      </c>
      <c r="F88" s="236"/>
      <c r="G88" s="912">
        <f t="shared" si="2"/>
        <v>92.500000000000014</v>
      </c>
      <c r="H88" s="1914">
        <f>H87/(1/(50/1000))</f>
        <v>83.777499999999989</v>
      </c>
      <c r="I88" s="1915"/>
      <c r="J88" s="1914"/>
    </row>
    <row r="89" spans="1:11" ht="15" x14ac:dyDescent="0.25">
      <c r="A89" s="909"/>
      <c r="B89" s="910">
        <f t="shared" ref="B89:B152" si="3">+B88+1</f>
        <v>2</v>
      </c>
      <c r="C89" s="911">
        <f>$C$84+43.4</f>
        <v>190.00000000000003</v>
      </c>
      <c r="D89" s="911">
        <f>$D$84+41.9</f>
        <v>229.70000000000002</v>
      </c>
      <c r="E89" s="911">
        <f>$E$84+69.8</f>
        <v>281.8</v>
      </c>
      <c r="F89" s="236"/>
      <c r="G89" s="912">
        <f t="shared" si="2"/>
        <v>104.50000000000001</v>
      </c>
      <c r="H89" s="894"/>
      <c r="I89" s="846"/>
      <c r="J89" s="846"/>
    </row>
    <row r="90" spans="1:11" ht="15" x14ac:dyDescent="0.25">
      <c r="A90" s="909" t="s">
        <v>1004</v>
      </c>
      <c r="B90" s="910">
        <f t="shared" si="3"/>
        <v>3</v>
      </c>
      <c r="C90" s="911">
        <f>$C$84+57.9</f>
        <v>204.50000000000003</v>
      </c>
      <c r="D90" s="911">
        <f>$D$84+57.9</f>
        <v>245.70000000000002</v>
      </c>
      <c r="E90" s="911">
        <f>$E$84+93</f>
        <v>305</v>
      </c>
      <c r="F90" s="236"/>
      <c r="G90" s="912">
        <f t="shared" si="2"/>
        <v>120.50000000000001</v>
      </c>
      <c r="H90" s="894"/>
      <c r="I90" s="846"/>
      <c r="J90" s="846"/>
    </row>
    <row r="91" spans="1:11" ht="15" x14ac:dyDescent="0.25">
      <c r="A91" s="909" t="s">
        <v>1005</v>
      </c>
      <c r="B91" s="910">
        <f t="shared" si="3"/>
        <v>4</v>
      </c>
      <c r="C91" s="911">
        <f>$C$84+70.3</f>
        <v>216.90000000000003</v>
      </c>
      <c r="D91" s="911">
        <f>$D$84+70.3</f>
        <v>258.10000000000002</v>
      </c>
      <c r="E91" s="911">
        <f>$E$84+112.9</f>
        <v>324.89999999999998</v>
      </c>
      <c r="F91" s="236" t="s">
        <v>1006</v>
      </c>
      <c r="G91" s="912">
        <f t="shared" si="2"/>
        <v>132.90000000000003</v>
      </c>
      <c r="H91" s="894" t="s">
        <v>995</v>
      </c>
      <c r="I91" s="846" t="s">
        <v>1007</v>
      </c>
      <c r="J91" s="846"/>
    </row>
    <row r="92" spans="1:11" ht="15" x14ac:dyDescent="0.25">
      <c r="A92" s="909" t="s">
        <v>1008</v>
      </c>
      <c r="B92" s="910">
        <f t="shared" si="3"/>
        <v>5</v>
      </c>
      <c r="C92" s="911">
        <f>$C$84+82.7</f>
        <v>229.3</v>
      </c>
      <c r="D92" s="911">
        <f>$D$84+82.7</f>
        <v>270.5</v>
      </c>
      <c r="E92" s="911">
        <f>$E$84+132.9</f>
        <v>344.9</v>
      </c>
      <c r="F92" s="913" t="s">
        <v>1008</v>
      </c>
      <c r="G92" s="912">
        <f t="shared" si="2"/>
        <v>145.30000000000001</v>
      </c>
      <c r="H92" s="914">
        <v>121.6</v>
      </c>
      <c r="I92" s="915"/>
      <c r="J92" s="915" t="s">
        <v>996</v>
      </c>
      <c r="K92" s="916"/>
    </row>
    <row r="93" spans="1:11" ht="15" x14ac:dyDescent="0.25">
      <c r="A93" s="909">
        <v>12.4</v>
      </c>
      <c r="B93" s="910">
        <f t="shared" si="3"/>
        <v>6</v>
      </c>
      <c r="C93" s="917">
        <f>C92+$A$93</f>
        <v>241.70000000000002</v>
      </c>
      <c r="D93" s="911">
        <f>D92+$A$93</f>
        <v>282.89999999999998</v>
      </c>
      <c r="E93" s="917">
        <f>E92+$F$93</f>
        <v>364.79999999999995</v>
      </c>
      <c r="F93" s="236">
        <v>19.899999999999999</v>
      </c>
      <c r="G93" s="912">
        <f t="shared" si="2"/>
        <v>157.69999999999999</v>
      </c>
      <c r="H93" s="914">
        <f>H92+$I$93</f>
        <v>139.79999999999998</v>
      </c>
      <c r="I93" s="915">
        <v>18.2</v>
      </c>
      <c r="J93" s="915"/>
      <c r="K93" s="916"/>
    </row>
    <row r="94" spans="1:11" ht="15" x14ac:dyDescent="0.25">
      <c r="A94" s="909"/>
      <c r="B94" s="910">
        <f t="shared" si="3"/>
        <v>7</v>
      </c>
      <c r="C94" s="917">
        <f>C93+$A$93</f>
        <v>254.10000000000002</v>
      </c>
      <c r="D94" s="911">
        <f t="shared" ref="D94:D117" si="4">D93+$A$93</f>
        <v>295.29999999999995</v>
      </c>
      <c r="E94" s="917">
        <f t="shared" ref="E94:E117" si="5">E93+$F$93</f>
        <v>384.69999999999993</v>
      </c>
      <c r="F94" s="236"/>
      <c r="G94" s="912">
        <f t="shared" si="2"/>
        <v>170.09999999999997</v>
      </c>
      <c r="H94" s="914">
        <f t="shared" ref="H94:H117" si="6">H93+$I$93</f>
        <v>157.99999999999997</v>
      </c>
      <c r="I94" s="915"/>
      <c r="J94" s="915"/>
      <c r="K94" s="916"/>
    </row>
    <row r="95" spans="1:11" ht="15" x14ac:dyDescent="0.25">
      <c r="A95" s="909"/>
      <c r="B95" s="910">
        <f t="shared" si="3"/>
        <v>8</v>
      </c>
      <c r="C95" s="917">
        <f t="shared" ref="C95:C117" si="7">C94+$A$93</f>
        <v>266.5</v>
      </c>
      <c r="D95" s="911">
        <f t="shared" si="4"/>
        <v>307.69999999999993</v>
      </c>
      <c r="E95" s="917">
        <f t="shared" si="5"/>
        <v>404.59999999999991</v>
      </c>
      <c r="F95" s="236"/>
      <c r="G95" s="912">
        <f t="shared" si="2"/>
        <v>182.49999999999994</v>
      </c>
      <c r="H95" s="914">
        <f t="shared" si="6"/>
        <v>176.19999999999996</v>
      </c>
      <c r="I95" s="915"/>
      <c r="J95" s="915"/>
      <c r="K95" s="916"/>
    </row>
    <row r="96" spans="1:11" ht="15" x14ac:dyDescent="0.25">
      <c r="A96" s="909"/>
      <c r="B96" s="910">
        <f t="shared" si="3"/>
        <v>9</v>
      </c>
      <c r="C96" s="917">
        <f t="shared" si="7"/>
        <v>278.89999999999998</v>
      </c>
      <c r="D96" s="911">
        <f t="shared" si="4"/>
        <v>320.09999999999991</v>
      </c>
      <c r="E96" s="917">
        <f t="shared" si="5"/>
        <v>424.49999999999989</v>
      </c>
      <c r="F96" s="236"/>
      <c r="G96" s="912">
        <f t="shared" si="2"/>
        <v>194.89999999999992</v>
      </c>
      <c r="H96" s="914">
        <f t="shared" si="6"/>
        <v>194.39999999999995</v>
      </c>
      <c r="I96" s="915"/>
      <c r="J96" s="915"/>
      <c r="K96" s="916"/>
    </row>
    <row r="97" spans="1:11" ht="15" x14ac:dyDescent="0.25">
      <c r="A97" s="909"/>
      <c r="B97" s="910">
        <f t="shared" si="3"/>
        <v>10</v>
      </c>
      <c r="C97" s="917">
        <f t="shared" si="7"/>
        <v>291.29999999999995</v>
      </c>
      <c r="D97" s="911">
        <f t="shared" si="4"/>
        <v>332.49999999999989</v>
      </c>
      <c r="E97" s="917">
        <f t="shared" si="5"/>
        <v>444.39999999999986</v>
      </c>
      <c r="F97" s="236"/>
      <c r="G97" s="912">
        <f t="shared" si="2"/>
        <v>207.2999999999999</v>
      </c>
      <c r="H97" s="914">
        <f t="shared" si="6"/>
        <v>212.59999999999994</v>
      </c>
      <c r="I97" s="915"/>
      <c r="J97" s="915"/>
      <c r="K97" s="916"/>
    </row>
    <row r="98" spans="1:11" ht="15" x14ac:dyDescent="0.25">
      <c r="A98" s="909"/>
      <c r="B98" s="910">
        <f t="shared" si="3"/>
        <v>11</v>
      </c>
      <c r="C98" s="917">
        <f t="shared" si="7"/>
        <v>303.69999999999993</v>
      </c>
      <c r="D98" s="911">
        <f t="shared" si="4"/>
        <v>344.89999999999986</v>
      </c>
      <c r="E98" s="917">
        <f t="shared" si="5"/>
        <v>464.29999999999984</v>
      </c>
      <c r="F98" s="236"/>
      <c r="G98" s="912">
        <f t="shared" si="2"/>
        <v>219.69999999999987</v>
      </c>
      <c r="H98" s="914">
        <f t="shared" si="6"/>
        <v>230.79999999999993</v>
      </c>
      <c r="I98" s="915"/>
      <c r="J98" s="915"/>
      <c r="K98" s="916"/>
    </row>
    <row r="99" spans="1:11" ht="15" x14ac:dyDescent="0.25">
      <c r="A99" s="909"/>
      <c r="B99" s="910">
        <f t="shared" si="3"/>
        <v>12</v>
      </c>
      <c r="C99" s="917">
        <f t="shared" si="7"/>
        <v>316.09999999999991</v>
      </c>
      <c r="D99" s="911">
        <f t="shared" si="4"/>
        <v>357.29999999999984</v>
      </c>
      <c r="E99" s="917">
        <f t="shared" si="5"/>
        <v>484.19999999999982</v>
      </c>
      <c r="F99" s="236"/>
      <c r="G99" s="912">
        <f t="shared" si="2"/>
        <v>232.09999999999985</v>
      </c>
      <c r="H99" s="914">
        <f t="shared" si="6"/>
        <v>248.99999999999991</v>
      </c>
      <c r="I99" s="915"/>
      <c r="J99" s="915"/>
      <c r="K99" s="916"/>
    </row>
    <row r="100" spans="1:11" ht="15" x14ac:dyDescent="0.25">
      <c r="A100" s="909"/>
      <c r="B100" s="910">
        <f t="shared" si="3"/>
        <v>13</v>
      </c>
      <c r="C100" s="917">
        <f t="shared" si="7"/>
        <v>328.49999999999989</v>
      </c>
      <c r="D100" s="911">
        <f t="shared" si="4"/>
        <v>369.69999999999982</v>
      </c>
      <c r="E100" s="917">
        <f t="shared" si="5"/>
        <v>504.0999999999998</v>
      </c>
      <c r="F100" s="236"/>
      <c r="G100" s="912">
        <f t="shared" si="2"/>
        <v>244.49999999999983</v>
      </c>
      <c r="H100" s="914">
        <f t="shared" si="6"/>
        <v>267.19999999999993</v>
      </c>
      <c r="I100" s="915"/>
      <c r="J100" s="915"/>
      <c r="K100" s="916"/>
    </row>
    <row r="101" spans="1:11" ht="15" x14ac:dyDescent="0.25">
      <c r="A101" s="909"/>
      <c r="B101" s="910">
        <f t="shared" si="3"/>
        <v>14</v>
      </c>
      <c r="C101" s="917">
        <f t="shared" si="7"/>
        <v>340.89999999999986</v>
      </c>
      <c r="D101" s="911">
        <f t="shared" si="4"/>
        <v>382.0999999999998</v>
      </c>
      <c r="E101" s="917">
        <f t="shared" si="5"/>
        <v>523.99999999999977</v>
      </c>
      <c r="F101" s="236"/>
      <c r="G101" s="912">
        <f t="shared" si="2"/>
        <v>256.89999999999981</v>
      </c>
      <c r="H101" s="914">
        <f t="shared" si="6"/>
        <v>285.39999999999992</v>
      </c>
      <c r="I101" s="915"/>
      <c r="J101" s="915"/>
      <c r="K101" s="916"/>
    </row>
    <row r="102" spans="1:11" ht="15" x14ac:dyDescent="0.25">
      <c r="A102" s="909"/>
      <c r="B102" s="910">
        <f t="shared" si="3"/>
        <v>15</v>
      </c>
      <c r="C102" s="917">
        <f t="shared" si="7"/>
        <v>353.29999999999984</v>
      </c>
      <c r="D102" s="911">
        <f t="shared" si="4"/>
        <v>394.49999999999977</v>
      </c>
      <c r="E102" s="917">
        <f t="shared" si="5"/>
        <v>543.89999999999975</v>
      </c>
      <c r="F102" s="236"/>
      <c r="G102" s="912">
        <f t="shared" si="2"/>
        <v>269.29999999999978</v>
      </c>
      <c r="H102" s="914">
        <f t="shared" si="6"/>
        <v>303.59999999999991</v>
      </c>
      <c r="I102" s="915"/>
      <c r="J102" s="915"/>
      <c r="K102" s="916"/>
    </row>
    <row r="103" spans="1:11" ht="15" x14ac:dyDescent="0.25">
      <c r="A103" s="909"/>
      <c r="B103" s="910">
        <f t="shared" si="3"/>
        <v>16</v>
      </c>
      <c r="C103" s="917">
        <f t="shared" si="7"/>
        <v>365.69999999999982</v>
      </c>
      <c r="D103" s="911">
        <f t="shared" si="4"/>
        <v>406.89999999999975</v>
      </c>
      <c r="E103" s="917">
        <f t="shared" si="5"/>
        <v>563.79999999999973</v>
      </c>
      <c r="F103" s="236"/>
      <c r="G103" s="912">
        <f t="shared" si="2"/>
        <v>281.69999999999976</v>
      </c>
      <c r="H103" s="914">
        <f t="shared" si="6"/>
        <v>321.7999999999999</v>
      </c>
      <c r="I103" s="915"/>
      <c r="J103" s="915"/>
      <c r="K103" s="916"/>
    </row>
    <row r="104" spans="1:11" ht="15" x14ac:dyDescent="0.25">
      <c r="A104" s="909"/>
      <c r="B104" s="910">
        <f t="shared" si="3"/>
        <v>17</v>
      </c>
      <c r="C104" s="917">
        <f t="shared" si="7"/>
        <v>378.0999999999998</v>
      </c>
      <c r="D104" s="911">
        <f t="shared" si="4"/>
        <v>419.29999999999973</v>
      </c>
      <c r="E104" s="917">
        <f t="shared" si="5"/>
        <v>583.6999999999997</v>
      </c>
      <c r="F104" s="236"/>
      <c r="G104" s="912">
        <f t="shared" si="2"/>
        <v>294.09999999999974</v>
      </c>
      <c r="H104" s="914">
        <f t="shared" si="6"/>
        <v>339.99999999999989</v>
      </c>
      <c r="I104" s="915"/>
      <c r="J104" s="915"/>
      <c r="K104" s="916"/>
    </row>
    <row r="105" spans="1:11" ht="15" x14ac:dyDescent="0.25">
      <c r="A105" s="909"/>
      <c r="B105" s="910">
        <f t="shared" si="3"/>
        <v>18</v>
      </c>
      <c r="C105" s="917">
        <f t="shared" si="7"/>
        <v>390.49999999999977</v>
      </c>
      <c r="D105" s="911">
        <f t="shared" si="4"/>
        <v>431.6999999999997</v>
      </c>
      <c r="E105" s="917">
        <f t="shared" si="5"/>
        <v>603.59999999999968</v>
      </c>
      <c r="F105" s="236"/>
      <c r="G105" s="912">
        <f t="shared" si="2"/>
        <v>306.49999999999972</v>
      </c>
      <c r="H105" s="914">
        <f t="shared" si="6"/>
        <v>358.19999999999987</v>
      </c>
      <c r="I105" s="915"/>
      <c r="J105" s="915"/>
      <c r="K105" s="916"/>
    </row>
    <row r="106" spans="1:11" ht="15" x14ac:dyDescent="0.25">
      <c r="A106" s="909"/>
      <c r="B106" s="910">
        <f t="shared" si="3"/>
        <v>19</v>
      </c>
      <c r="C106" s="917">
        <f t="shared" si="7"/>
        <v>402.89999999999975</v>
      </c>
      <c r="D106" s="911">
        <f t="shared" si="4"/>
        <v>444.09999999999968</v>
      </c>
      <c r="E106" s="917">
        <f t="shared" si="5"/>
        <v>623.49999999999966</v>
      </c>
      <c r="F106" s="236"/>
      <c r="G106" s="912">
        <f t="shared" si="2"/>
        <v>318.89999999999969</v>
      </c>
      <c r="H106" s="914">
        <f t="shared" si="6"/>
        <v>376.39999999999986</v>
      </c>
      <c r="I106" s="915"/>
      <c r="J106" s="915"/>
      <c r="K106" s="916"/>
    </row>
    <row r="107" spans="1:11" ht="15" x14ac:dyDescent="0.25">
      <c r="A107" s="909"/>
      <c r="B107" s="910">
        <f t="shared" si="3"/>
        <v>20</v>
      </c>
      <c r="C107" s="917">
        <f t="shared" si="7"/>
        <v>415.29999999999973</v>
      </c>
      <c r="D107" s="911">
        <f t="shared" si="4"/>
        <v>456.49999999999966</v>
      </c>
      <c r="E107" s="917">
        <f t="shared" si="5"/>
        <v>643.39999999999964</v>
      </c>
      <c r="F107" s="236"/>
      <c r="G107" s="912">
        <f t="shared" si="2"/>
        <v>331.29999999999967</v>
      </c>
      <c r="H107" s="914">
        <f t="shared" si="6"/>
        <v>394.59999999999985</v>
      </c>
      <c r="I107" s="915"/>
      <c r="J107" s="915"/>
      <c r="K107" s="916"/>
    </row>
    <row r="108" spans="1:11" ht="15" x14ac:dyDescent="0.25">
      <c r="A108" s="909"/>
      <c r="B108" s="910">
        <f t="shared" si="3"/>
        <v>21</v>
      </c>
      <c r="C108" s="917">
        <f>C107+$A$93</f>
        <v>427.6999999999997</v>
      </c>
      <c r="D108" s="911">
        <f t="shared" si="4"/>
        <v>468.89999999999964</v>
      </c>
      <c r="E108" s="917">
        <f t="shared" si="5"/>
        <v>663.29999999999961</v>
      </c>
      <c r="F108" s="236"/>
      <c r="G108" s="912">
        <f t="shared" si="2"/>
        <v>343.69999999999965</v>
      </c>
      <c r="H108" s="914">
        <f t="shared" si="6"/>
        <v>412.79999999999984</v>
      </c>
      <c r="I108" s="915"/>
      <c r="J108" s="915"/>
      <c r="K108" s="916"/>
    </row>
    <row r="109" spans="1:11" ht="15" x14ac:dyDescent="0.25">
      <c r="A109" s="909"/>
      <c r="B109" s="910">
        <f t="shared" si="3"/>
        <v>22</v>
      </c>
      <c r="C109" s="917">
        <f t="shared" si="7"/>
        <v>440.09999999999968</v>
      </c>
      <c r="D109" s="911">
        <f t="shared" si="4"/>
        <v>481.29999999999961</v>
      </c>
      <c r="E109" s="917">
        <f t="shared" si="5"/>
        <v>683.19999999999959</v>
      </c>
      <c r="F109" s="236"/>
      <c r="G109" s="912">
        <f t="shared" si="2"/>
        <v>356.09999999999962</v>
      </c>
      <c r="H109" s="914">
        <f t="shared" si="6"/>
        <v>430.99999999999983</v>
      </c>
      <c r="I109" s="915"/>
      <c r="J109" s="915"/>
      <c r="K109" s="916"/>
    </row>
    <row r="110" spans="1:11" ht="15" x14ac:dyDescent="0.25">
      <c r="A110" s="909"/>
      <c r="B110" s="910">
        <f t="shared" si="3"/>
        <v>23</v>
      </c>
      <c r="C110" s="917">
        <f t="shared" si="7"/>
        <v>452.49999999999966</v>
      </c>
      <c r="D110" s="911">
        <f t="shared" si="4"/>
        <v>493.69999999999959</v>
      </c>
      <c r="E110" s="917">
        <f t="shared" si="5"/>
        <v>703.09999999999957</v>
      </c>
      <c r="F110" s="236"/>
      <c r="G110" s="912">
        <f t="shared" si="2"/>
        <v>368.4999999999996</v>
      </c>
      <c r="H110" s="914">
        <f t="shared" si="6"/>
        <v>449.19999999999982</v>
      </c>
      <c r="I110" s="915"/>
      <c r="J110" s="915"/>
      <c r="K110" s="916"/>
    </row>
    <row r="111" spans="1:11" ht="15" x14ac:dyDescent="0.25">
      <c r="A111" s="909"/>
      <c r="B111" s="910">
        <f t="shared" si="3"/>
        <v>24</v>
      </c>
      <c r="C111" s="917">
        <f t="shared" si="7"/>
        <v>464.89999999999964</v>
      </c>
      <c r="D111" s="911">
        <f t="shared" si="4"/>
        <v>506.09999999999957</v>
      </c>
      <c r="E111" s="917">
        <f t="shared" si="5"/>
        <v>722.99999999999955</v>
      </c>
      <c r="F111" s="236"/>
      <c r="G111" s="912">
        <f t="shared" si="2"/>
        <v>380.89999999999958</v>
      </c>
      <c r="H111" s="914">
        <f t="shared" si="6"/>
        <v>467.39999999999981</v>
      </c>
      <c r="I111" s="915"/>
      <c r="J111" s="915"/>
      <c r="K111" s="916"/>
    </row>
    <row r="112" spans="1:11" ht="15" x14ac:dyDescent="0.25">
      <c r="A112" s="909"/>
      <c r="B112" s="910">
        <f t="shared" si="3"/>
        <v>25</v>
      </c>
      <c r="C112" s="917">
        <f t="shared" si="7"/>
        <v>477.29999999999961</v>
      </c>
      <c r="D112" s="911">
        <f t="shared" si="4"/>
        <v>518.49999999999955</v>
      </c>
      <c r="E112" s="917">
        <f t="shared" si="5"/>
        <v>742.89999999999952</v>
      </c>
      <c r="F112" s="236"/>
      <c r="G112" s="912">
        <f t="shared" si="2"/>
        <v>393.29999999999956</v>
      </c>
      <c r="H112" s="914">
        <f t="shared" si="6"/>
        <v>485.5999999999998</v>
      </c>
      <c r="I112" s="915"/>
      <c r="J112" s="915"/>
      <c r="K112" s="916"/>
    </row>
    <row r="113" spans="1:11" ht="15" x14ac:dyDescent="0.25">
      <c r="A113" s="909"/>
      <c r="B113" s="910">
        <f t="shared" si="3"/>
        <v>26</v>
      </c>
      <c r="C113" s="917">
        <f t="shared" si="7"/>
        <v>489.69999999999959</v>
      </c>
      <c r="D113" s="911">
        <f t="shared" si="4"/>
        <v>530.89999999999952</v>
      </c>
      <c r="E113" s="917">
        <f t="shared" si="5"/>
        <v>762.7999999999995</v>
      </c>
      <c r="F113" s="236"/>
      <c r="G113" s="912">
        <f t="shared" si="2"/>
        <v>405.69999999999953</v>
      </c>
      <c r="H113" s="914">
        <f t="shared" si="6"/>
        <v>503.79999999999978</v>
      </c>
      <c r="I113" s="915"/>
      <c r="J113" s="915"/>
      <c r="K113" s="916"/>
    </row>
    <row r="114" spans="1:11" ht="15" x14ac:dyDescent="0.25">
      <c r="A114" s="909"/>
      <c r="B114" s="910">
        <f t="shared" si="3"/>
        <v>27</v>
      </c>
      <c r="C114" s="917">
        <f t="shared" si="7"/>
        <v>502.09999999999957</v>
      </c>
      <c r="D114" s="911">
        <f t="shared" si="4"/>
        <v>543.2999999999995</v>
      </c>
      <c r="E114" s="917">
        <f t="shared" si="5"/>
        <v>782.69999999999948</v>
      </c>
      <c r="F114" s="236"/>
      <c r="G114" s="912">
        <f t="shared" si="2"/>
        <v>418.09999999999951</v>
      </c>
      <c r="H114" s="914">
        <f t="shared" si="6"/>
        <v>521.99999999999977</v>
      </c>
      <c r="I114" s="915"/>
      <c r="J114" s="915"/>
      <c r="K114" s="916"/>
    </row>
    <row r="115" spans="1:11" ht="15" x14ac:dyDescent="0.25">
      <c r="A115" s="909"/>
      <c r="B115" s="910">
        <f t="shared" si="3"/>
        <v>28</v>
      </c>
      <c r="C115" s="917">
        <f t="shared" si="7"/>
        <v>514.49999999999955</v>
      </c>
      <c r="D115" s="911">
        <f t="shared" si="4"/>
        <v>555.69999999999948</v>
      </c>
      <c r="E115" s="917">
        <f t="shared" si="5"/>
        <v>802.59999999999945</v>
      </c>
      <c r="F115" s="236"/>
      <c r="G115" s="912">
        <f t="shared" si="2"/>
        <v>430.49999999999949</v>
      </c>
      <c r="H115" s="914">
        <f t="shared" si="6"/>
        <v>540.19999999999982</v>
      </c>
      <c r="I115" s="915"/>
      <c r="J115" s="915"/>
      <c r="K115" s="916"/>
    </row>
    <row r="116" spans="1:11" ht="15" x14ac:dyDescent="0.25">
      <c r="A116" s="909"/>
      <c r="B116" s="910">
        <f t="shared" si="3"/>
        <v>29</v>
      </c>
      <c r="C116" s="917">
        <f t="shared" si="7"/>
        <v>526.89999999999952</v>
      </c>
      <c r="D116" s="911">
        <f t="shared" si="4"/>
        <v>568.09999999999945</v>
      </c>
      <c r="E116" s="917">
        <f t="shared" si="5"/>
        <v>822.49999999999943</v>
      </c>
      <c r="F116" s="236"/>
      <c r="G116" s="912">
        <f t="shared" si="2"/>
        <v>442.89999999999947</v>
      </c>
      <c r="H116" s="914">
        <f t="shared" si="6"/>
        <v>558.39999999999986</v>
      </c>
      <c r="I116" s="915"/>
      <c r="J116" s="915"/>
      <c r="K116" s="916"/>
    </row>
    <row r="117" spans="1:11" ht="15" x14ac:dyDescent="0.25">
      <c r="A117" s="909"/>
      <c r="B117" s="910">
        <f t="shared" si="3"/>
        <v>30</v>
      </c>
      <c r="C117" s="917">
        <f t="shared" si="7"/>
        <v>539.2999999999995</v>
      </c>
      <c r="D117" s="911">
        <f t="shared" si="4"/>
        <v>580.49999999999943</v>
      </c>
      <c r="E117" s="917">
        <f t="shared" si="5"/>
        <v>842.39999999999941</v>
      </c>
      <c r="F117" s="236"/>
      <c r="G117" s="912">
        <f t="shared" si="2"/>
        <v>455.29999999999944</v>
      </c>
      <c r="H117" s="914">
        <f t="shared" si="6"/>
        <v>576.59999999999991</v>
      </c>
      <c r="I117" s="915"/>
      <c r="J117" s="915"/>
      <c r="K117" s="916"/>
    </row>
    <row r="118" spans="1:11" ht="15" x14ac:dyDescent="0.25">
      <c r="A118" s="909">
        <v>10.3</v>
      </c>
      <c r="B118" s="910">
        <f t="shared" si="3"/>
        <v>31</v>
      </c>
      <c r="C118" s="917">
        <f>C117+$A$118</f>
        <v>549.59999999999945</v>
      </c>
      <c r="D118" s="917">
        <f>D117+$A$118</f>
        <v>590.79999999999939</v>
      </c>
      <c r="E118" s="917">
        <f>E117+$F$118</f>
        <v>858.99999999999943</v>
      </c>
      <c r="F118" s="236">
        <v>16.600000000000001</v>
      </c>
      <c r="G118" s="912">
        <f t="shared" si="2"/>
        <v>465.5999999999994</v>
      </c>
      <c r="H118" s="914">
        <f>H117+$I$118</f>
        <v>591.79999999999995</v>
      </c>
      <c r="I118" s="915">
        <v>15.2</v>
      </c>
      <c r="J118" s="915"/>
      <c r="K118" s="916"/>
    </row>
    <row r="119" spans="1:11" ht="15" x14ac:dyDescent="0.25">
      <c r="A119" s="909"/>
      <c r="B119" s="910">
        <f t="shared" si="3"/>
        <v>32</v>
      </c>
      <c r="C119" s="917">
        <f t="shared" ref="C119:D134" si="8">C118+$A$118</f>
        <v>559.89999999999941</v>
      </c>
      <c r="D119" s="917">
        <f t="shared" si="8"/>
        <v>601.09999999999934</v>
      </c>
      <c r="E119" s="917">
        <f t="shared" ref="E119:E182" si="9">E118+$F$118</f>
        <v>875.59999999999945</v>
      </c>
      <c r="F119" s="236"/>
      <c r="G119" s="912">
        <f t="shared" si="2"/>
        <v>475.89999999999935</v>
      </c>
      <c r="H119" s="914">
        <f t="shared" ref="H119:H182" si="10">H118+$I$118</f>
        <v>607</v>
      </c>
      <c r="I119" s="915"/>
      <c r="J119" s="915"/>
      <c r="K119" s="916"/>
    </row>
    <row r="120" spans="1:11" ht="15" x14ac:dyDescent="0.25">
      <c r="A120" s="909"/>
      <c r="B120" s="910">
        <f t="shared" si="3"/>
        <v>33</v>
      </c>
      <c r="C120" s="917">
        <f t="shared" si="8"/>
        <v>570.19999999999936</v>
      </c>
      <c r="D120" s="917">
        <f t="shared" si="8"/>
        <v>611.3999999999993</v>
      </c>
      <c r="E120" s="917">
        <f t="shared" si="9"/>
        <v>892.19999999999948</v>
      </c>
      <c r="F120" s="236"/>
      <c r="G120" s="912">
        <f t="shared" si="2"/>
        <v>486.19999999999931</v>
      </c>
      <c r="H120" s="914">
        <f t="shared" si="10"/>
        <v>622.20000000000005</v>
      </c>
      <c r="I120" s="915"/>
      <c r="J120" s="915"/>
      <c r="K120" s="916"/>
    </row>
    <row r="121" spans="1:11" ht="15" x14ac:dyDescent="0.25">
      <c r="A121" s="909"/>
      <c r="B121" s="910">
        <f t="shared" si="3"/>
        <v>34</v>
      </c>
      <c r="C121" s="917">
        <f t="shared" si="8"/>
        <v>580.49999999999932</v>
      </c>
      <c r="D121" s="917">
        <f t="shared" si="8"/>
        <v>621.69999999999925</v>
      </c>
      <c r="E121" s="917">
        <f t="shared" si="9"/>
        <v>908.7999999999995</v>
      </c>
      <c r="F121" s="236"/>
      <c r="G121" s="912">
        <f t="shared" si="2"/>
        <v>496.49999999999926</v>
      </c>
      <c r="H121" s="914">
        <f t="shared" si="10"/>
        <v>637.40000000000009</v>
      </c>
      <c r="I121" s="915"/>
      <c r="J121" s="915"/>
      <c r="K121" s="916"/>
    </row>
    <row r="122" spans="1:11" ht="15" x14ac:dyDescent="0.25">
      <c r="A122" s="909"/>
      <c r="B122" s="910">
        <f t="shared" si="3"/>
        <v>35</v>
      </c>
      <c r="C122" s="917">
        <f t="shared" si="8"/>
        <v>590.79999999999927</v>
      </c>
      <c r="D122" s="917">
        <f t="shared" si="8"/>
        <v>631.9999999999992</v>
      </c>
      <c r="E122" s="917">
        <f t="shared" si="9"/>
        <v>925.39999999999952</v>
      </c>
      <c r="F122" s="236"/>
      <c r="G122" s="912">
        <f t="shared" si="2"/>
        <v>506.79999999999922</v>
      </c>
      <c r="H122" s="914">
        <f t="shared" si="10"/>
        <v>652.60000000000014</v>
      </c>
      <c r="I122" s="915"/>
      <c r="J122" s="915"/>
      <c r="K122" s="916"/>
    </row>
    <row r="123" spans="1:11" ht="15" x14ac:dyDescent="0.25">
      <c r="A123" s="909"/>
      <c r="B123" s="910">
        <f t="shared" si="3"/>
        <v>36</v>
      </c>
      <c r="C123" s="917">
        <f t="shared" si="8"/>
        <v>601.09999999999923</v>
      </c>
      <c r="D123" s="917">
        <f t="shared" si="8"/>
        <v>642.29999999999916</v>
      </c>
      <c r="E123" s="917">
        <f t="shared" si="9"/>
        <v>941.99999999999955</v>
      </c>
      <c r="F123" s="236"/>
      <c r="G123" s="912">
        <f t="shared" si="2"/>
        <v>517.09999999999911</v>
      </c>
      <c r="H123" s="914">
        <f t="shared" si="10"/>
        <v>667.80000000000018</v>
      </c>
      <c r="I123" s="915"/>
      <c r="J123" s="915"/>
      <c r="K123" s="916"/>
    </row>
    <row r="124" spans="1:11" ht="15" x14ac:dyDescent="0.25">
      <c r="A124" s="909"/>
      <c r="B124" s="910">
        <f t="shared" si="3"/>
        <v>37</v>
      </c>
      <c r="C124" s="917">
        <f t="shared" si="8"/>
        <v>611.39999999999918</v>
      </c>
      <c r="D124" s="917">
        <f t="shared" si="8"/>
        <v>652.59999999999911</v>
      </c>
      <c r="E124" s="917">
        <f t="shared" si="9"/>
        <v>958.59999999999957</v>
      </c>
      <c r="F124" s="236"/>
      <c r="G124" s="912">
        <f t="shared" si="2"/>
        <v>527.39999999999907</v>
      </c>
      <c r="H124" s="914">
        <f t="shared" si="10"/>
        <v>683.00000000000023</v>
      </c>
      <c r="I124" s="915"/>
      <c r="J124" s="915"/>
      <c r="K124" s="916"/>
    </row>
    <row r="125" spans="1:11" ht="15" x14ac:dyDescent="0.25">
      <c r="A125" s="909"/>
      <c r="B125" s="910">
        <f t="shared" si="3"/>
        <v>38</v>
      </c>
      <c r="C125" s="917">
        <f t="shared" si="8"/>
        <v>621.69999999999914</v>
      </c>
      <c r="D125" s="917">
        <f t="shared" si="8"/>
        <v>662.89999999999907</v>
      </c>
      <c r="E125" s="917">
        <f t="shared" si="9"/>
        <v>975.19999999999959</v>
      </c>
      <c r="F125" s="236"/>
      <c r="G125" s="912">
        <f t="shared" si="2"/>
        <v>537.69999999999902</v>
      </c>
      <c r="H125" s="914">
        <f t="shared" si="10"/>
        <v>698.20000000000027</v>
      </c>
      <c r="I125" s="915"/>
      <c r="J125" s="915"/>
      <c r="K125" s="916"/>
    </row>
    <row r="126" spans="1:11" ht="15" x14ac:dyDescent="0.25">
      <c r="A126" s="909"/>
      <c r="B126" s="910">
        <f t="shared" si="3"/>
        <v>39</v>
      </c>
      <c r="C126" s="917">
        <f t="shared" si="8"/>
        <v>631.99999999999909</v>
      </c>
      <c r="D126" s="917">
        <f t="shared" si="8"/>
        <v>673.19999999999902</v>
      </c>
      <c r="E126" s="917">
        <f t="shared" si="9"/>
        <v>991.79999999999961</v>
      </c>
      <c r="F126" s="236"/>
      <c r="G126" s="912">
        <f t="shared" si="2"/>
        <v>547.99999999999898</v>
      </c>
      <c r="H126" s="914">
        <f t="shared" si="10"/>
        <v>713.40000000000032</v>
      </c>
      <c r="I126" s="915"/>
      <c r="J126" s="915"/>
      <c r="K126" s="916"/>
    </row>
    <row r="127" spans="1:11" ht="15" x14ac:dyDescent="0.25">
      <c r="A127" s="909"/>
      <c r="B127" s="910">
        <f t="shared" si="3"/>
        <v>40</v>
      </c>
      <c r="C127" s="917">
        <f t="shared" si="8"/>
        <v>642.29999999999905</v>
      </c>
      <c r="D127" s="917">
        <f t="shared" si="8"/>
        <v>683.49999999999898</v>
      </c>
      <c r="E127" s="917">
        <f t="shared" si="9"/>
        <v>1008.3999999999996</v>
      </c>
      <c r="F127" s="236"/>
      <c r="G127" s="912">
        <f t="shared" si="2"/>
        <v>558.29999999999893</v>
      </c>
      <c r="H127" s="914">
        <f t="shared" si="10"/>
        <v>728.60000000000036</v>
      </c>
      <c r="I127" s="915"/>
      <c r="J127" s="915"/>
      <c r="K127" s="916"/>
    </row>
    <row r="128" spans="1:11" ht="15" x14ac:dyDescent="0.25">
      <c r="A128" s="909"/>
      <c r="B128" s="910">
        <f t="shared" si="3"/>
        <v>41</v>
      </c>
      <c r="C128" s="917">
        <f t="shared" si="8"/>
        <v>652.599999999999</v>
      </c>
      <c r="D128" s="917">
        <f t="shared" si="8"/>
        <v>693.79999999999893</v>
      </c>
      <c r="E128" s="917">
        <f t="shared" si="9"/>
        <v>1024.9999999999995</v>
      </c>
      <c r="F128" s="236"/>
      <c r="G128" s="912">
        <f t="shared" si="2"/>
        <v>568.59999999999889</v>
      </c>
      <c r="H128" s="914">
        <f t="shared" si="10"/>
        <v>743.80000000000041</v>
      </c>
      <c r="I128" s="915"/>
      <c r="J128" s="915"/>
      <c r="K128" s="916"/>
    </row>
    <row r="129" spans="1:11" ht="15" x14ac:dyDescent="0.25">
      <c r="A129" s="909"/>
      <c r="B129" s="910">
        <f t="shared" si="3"/>
        <v>42</v>
      </c>
      <c r="C129" s="917">
        <f t="shared" si="8"/>
        <v>662.89999999999895</v>
      </c>
      <c r="D129" s="917">
        <f t="shared" si="8"/>
        <v>704.09999999999889</v>
      </c>
      <c r="E129" s="917">
        <f t="shared" si="9"/>
        <v>1041.5999999999995</v>
      </c>
      <c r="F129" s="236"/>
      <c r="G129" s="912">
        <f t="shared" si="2"/>
        <v>578.89999999999884</v>
      </c>
      <c r="H129" s="914">
        <f t="shared" si="10"/>
        <v>759.00000000000045</v>
      </c>
      <c r="I129" s="915"/>
      <c r="J129" s="915"/>
      <c r="K129" s="916"/>
    </row>
    <row r="130" spans="1:11" ht="15" x14ac:dyDescent="0.25">
      <c r="A130" s="909"/>
      <c r="B130" s="910">
        <f t="shared" si="3"/>
        <v>43</v>
      </c>
      <c r="C130" s="917">
        <f t="shared" si="8"/>
        <v>673.19999999999891</v>
      </c>
      <c r="D130" s="917">
        <f t="shared" si="8"/>
        <v>714.39999999999884</v>
      </c>
      <c r="E130" s="917">
        <f t="shared" si="9"/>
        <v>1058.1999999999994</v>
      </c>
      <c r="F130" s="236"/>
      <c r="G130" s="912">
        <f t="shared" si="2"/>
        <v>589.19999999999879</v>
      </c>
      <c r="H130" s="914">
        <f t="shared" si="10"/>
        <v>774.2000000000005</v>
      </c>
      <c r="I130" s="915"/>
      <c r="J130" s="915"/>
      <c r="K130" s="916"/>
    </row>
    <row r="131" spans="1:11" ht="15" x14ac:dyDescent="0.25">
      <c r="A131" s="909"/>
      <c r="B131" s="910">
        <f t="shared" si="3"/>
        <v>44</v>
      </c>
      <c r="C131" s="917">
        <f t="shared" si="8"/>
        <v>683.49999999999886</v>
      </c>
      <c r="D131" s="917">
        <f t="shared" si="8"/>
        <v>724.69999999999879</v>
      </c>
      <c r="E131" s="917">
        <f t="shared" si="9"/>
        <v>1074.7999999999993</v>
      </c>
      <c r="F131" s="236"/>
      <c r="G131" s="912">
        <f t="shared" si="2"/>
        <v>599.49999999999875</v>
      </c>
      <c r="H131" s="914">
        <f t="shared" si="10"/>
        <v>789.40000000000055</v>
      </c>
      <c r="I131" s="915"/>
      <c r="J131" s="915"/>
      <c r="K131" s="916"/>
    </row>
    <row r="132" spans="1:11" ht="15" x14ac:dyDescent="0.25">
      <c r="A132" s="909"/>
      <c r="B132" s="910">
        <f t="shared" si="3"/>
        <v>45</v>
      </c>
      <c r="C132" s="917">
        <f t="shared" si="8"/>
        <v>693.79999999999882</v>
      </c>
      <c r="D132" s="917">
        <f t="shared" si="8"/>
        <v>734.99999999999875</v>
      </c>
      <c r="E132" s="917">
        <f t="shared" si="9"/>
        <v>1091.3999999999992</v>
      </c>
      <c r="F132" s="236"/>
      <c r="G132" s="912">
        <f t="shared" si="2"/>
        <v>609.7999999999987</v>
      </c>
      <c r="H132" s="914">
        <f t="shared" si="10"/>
        <v>804.60000000000059</v>
      </c>
      <c r="I132" s="915"/>
      <c r="J132" s="915"/>
      <c r="K132" s="916"/>
    </row>
    <row r="133" spans="1:11" ht="15" x14ac:dyDescent="0.25">
      <c r="A133" s="909"/>
      <c r="B133" s="910">
        <f t="shared" si="3"/>
        <v>46</v>
      </c>
      <c r="C133" s="917">
        <f t="shared" si="8"/>
        <v>704.09999999999877</v>
      </c>
      <c r="D133" s="917">
        <f t="shared" si="8"/>
        <v>745.2999999999987</v>
      </c>
      <c r="E133" s="917">
        <f t="shared" si="9"/>
        <v>1107.9999999999991</v>
      </c>
      <c r="F133" s="236"/>
      <c r="G133" s="912">
        <f t="shared" si="2"/>
        <v>620.09999999999866</v>
      </c>
      <c r="H133" s="914">
        <f t="shared" si="10"/>
        <v>819.80000000000064</v>
      </c>
      <c r="I133" s="915"/>
      <c r="J133" s="915"/>
      <c r="K133" s="916"/>
    </row>
    <row r="134" spans="1:11" ht="15" x14ac:dyDescent="0.25">
      <c r="A134" s="909"/>
      <c r="B134" s="910">
        <f t="shared" si="3"/>
        <v>47</v>
      </c>
      <c r="C134" s="917">
        <f t="shared" si="8"/>
        <v>714.39999999999873</v>
      </c>
      <c r="D134" s="917">
        <f t="shared" si="8"/>
        <v>755.59999999999866</v>
      </c>
      <c r="E134" s="917">
        <f t="shared" si="9"/>
        <v>1124.599999999999</v>
      </c>
      <c r="F134" s="236"/>
      <c r="G134" s="912">
        <f t="shared" si="2"/>
        <v>630.39999999999861</v>
      </c>
      <c r="H134" s="914">
        <f t="shared" si="10"/>
        <v>835.00000000000068</v>
      </c>
      <c r="I134" s="915"/>
      <c r="J134" s="915"/>
      <c r="K134" s="916"/>
    </row>
    <row r="135" spans="1:11" ht="15" x14ac:dyDescent="0.25">
      <c r="A135" s="909"/>
      <c r="B135" s="910">
        <f t="shared" si="3"/>
        <v>48</v>
      </c>
      <c r="C135" s="917">
        <f t="shared" ref="C135:D150" si="11">C134+$A$118</f>
        <v>724.69999999999868</v>
      </c>
      <c r="D135" s="917">
        <f t="shared" si="11"/>
        <v>765.89999999999861</v>
      </c>
      <c r="E135" s="917">
        <f t="shared" si="9"/>
        <v>1141.1999999999989</v>
      </c>
      <c r="F135" s="236"/>
      <c r="G135" s="912">
        <f t="shared" si="2"/>
        <v>640.69999999999857</v>
      </c>
      <c r="H135" s="914">
        <f t="shared" si="10"/>
        <v>850.20000000000073</v>
      </c>
      <c r="I135" s="915"/>
      <c r="J135" s="915"/>
      <c r="K135" s="916"/>
    </row>
    <row r="136" spans="1:11" ht="15" x14ac:dyDescent="0.25">
      <c r="A136" s="909"/>
      <c r="B136" s="910">
        <f t="shared" si="3"/>
        <v>49</v>
      </c>
      <c r="C136" s="917">
        <f t="shared" si="11"/>
        <v>734.99999999999864</v>
      </c>
      <c r="D136" s="917">
        <f t="shared" si="11"/>
        <v>776.19999999999857</v>
      </c>
      <c r="E136" s="917">
        <f t="shared" si="9"/>
        <v>1157.7999999999988</v>
      </c>
      <c r="F136" s="236"/>
      <c r="G136" s="912">
        <f t="shared" si="2"/>
        <v>650.99999999999852</v>
      </c>
      <c r="H136" s="914">
        <f t="shared" si="10"/>
        <v>865.40000000000077</v>
      </c>
      <c r="I136" s="915"/>
      <c r="J136" s="915"/>
      <c r="K136" s="916"/>
    </row>
    <row r="137" spans="1:11" ht="15" x14ac:dyDescent="0.25">
      <c r="A137" s="909"/>
      <c r="B137" s="910">
        <f t="shared" si="3"/>
        <v>50</v>
      </c>
      <c r="C137" s="917">
        <f t="shared" si="11"/>
        <v>745.29999999999859</v>
      </c>
      <c r="D137" s="917">
        <f t="shared" si="11"/>
        <v>786.49999999999852</v>
      </c>
      <c r="E137" s="917">
        <f t="shared" si="9"/>
        <v>1174.3999999999987</v>
      </c>
      <c r="F137" s="236"/>
      <c r="G137" s="912">
        <f t="shared" si="2"/>
        <v>661.29999999999848</v>
      </c>
      <c r="H137" s="914">
        <f t="shared" si="10"/>
        <v>880.60000000000082</v>
      </c>
      <c r="I137" s="915"/>
      <c r="J137" s="915"/>
      <c r="K137" s="916"/>
    </row>
    <row r="138" spans="1:11" ht="15" x14ac:dyDescent="0.25">
      <c r="A138" s="909"/>
      <c r="B138" s="910">
        <f t="shared" si="3"/>
        <v>51</v>
      </c>
      <c r="C138" s="917">
        <f t="shared" si="11"/>
        <v>755.59999999999854</v>
      </c>
      <c r="D138" s="917">
        <f t="shared" si="11"/>
        <v>796.79999999999848</v>
      </c>
      <c r="E138" s="917">
        <f t="shared" si="9"/>
        <v>1190.9999999999986</v>
      </c>
      <c r="F138" s="236"/>
      <c r="G138" s="912">
        <f t="shared" si="2"/>
        <v>671.59999999999843</v>
      </c>
      <c r="H138" s="914">
        <f t="shared" si="10"/>
        <v>895.80000000000086</v>
      </c>
      <c r="I138" s="915"/>
      <c r="J138" s="915"/>
      <c r="K138" s="916"/>
    </row>
    <row r="139" spans="1:11" ht="15" x14ac:dyDescent="0.25">
      <c r="A139" s="909"/>
      <c r="B139" s="910">
        <f t="shared" si="3"/>
        <v>52</v>
      </c>
      <c r="C139" s="917">
        <f t="shared" si="11"/>
        <v>765.8999999999985</v>
      </c>
      <c r="D139" s="917">
        <f t="shared" si="11"/>
        <v>807.09999999999843</v>
      </c>
      <c r="E139" s="917">
        <f t="shared" si="9"/>
        <v>1207.5999999999985</v>
      </c>
      <c r="F139" s="236"/>
      <c r="G139" s="912">
        <f t="shared" si="2"/>
        <v>681.89999999999839</v>
      </c>
      <c r="H139" s="914">
        <f t="shared" si="10"/>
        <v>911.00000000000091</v>
      </c>
      <c r="I139" s="915"/>
      <c r="J139" s="915"/>
      <c r="K139" s="916"/>
    </row>
    <row r="140" spans="1:11" ht="15" x14ac:dyDescent="0.25">
      <c r="A140" s="909"/>
      <c r="B140" s="910">
        <f t="shared" si="3"/>
        <v>53</v>
      </c>
      <c r="C140" s="917">
        <f t="shared" si="11"/>
        <v>776.19999999999845</v>
      </c>
      <c r="D140" s="917">
        <f t="shared" si="11"/>
        <v>817.39999999999839</v>
      </c>
      <c r="E140" s="917">
        <f t="shared" si="9"/>
        <v>1224.1999999999985</v>
      </c>
      <c r="F140" s="236"/>
      <c r="G140" s="912">
        <f t="shared" si="2"/>
        <v>692.19999999999834</v>
      </c>
      <c r="H140" s="914">
        <f t="shared" si="10"/>
        <v>926.20000000000095</v>
      </c>
      <c r="I140" s="915"/>
      <c r="J140" s="915"/>
      <c r="K140" s="916"/>
    </row>
    <row r="141" spans="1:11" ht="15" x14ac:dyDescent="0.25">
      <c r="A141" s="909"/>
      <c r="B141" s="910">
        <f t="shared" si="3"/>
        <v>54</v>
      </c>
      <c r="C141" s="917">
        <f t="shared" si="11"/>
        <v>786.49999999999841</v>
      </c>
      <c r="D141" s="917">
        <f t="shared" si="11"/>
        <v>827.69999999999834</v>
      </c>
      <c r="E141" s="917">
        <f t="shared" si="9"/>
        <v>1240.7999999999984</v>
      </c>
      <c r="F141" s="236"/>
      <c r="G141" s="912">
        <f t="shared" si="2"/>
        <v>702.49999999999829</v>
      </c>
      <c r="H141" s="914">
        <f t="shared" si="10"/>
        <v>941.400000000001</v>
      </c>
      <c r="I141" s="915"/>
      <c r="J141" s="915"/>
      <c r="K141" s="916"/>
    </row>
    <row r="142" spans="1:11" ht="15" x14ac:dyDescent="0.25">
      <c r="A142" s="909"/>
      <c r="B142" s="910">
        <f t="shared" si="3"/>
        <v>55</v>
      </c>
      <c r="C142" s="917">
        <f t="shared" si="11"/>
        <v>796.79999999999836</v>
      </c>
      <c r="D142" s="917">
        <f t="shared" si="11"/>
        <v>837.99999999999829</v>
      </c>
      <c r="E142" s="917">
        <f t="shared" si="9"/>
        <v>1257.3999999999983</v>
      </c>
      <c r="F142" s="236"/>
      <c r="G142" s="912">
        <f t="shared" si="2"/>
        <v>712.79999999999825</v>
      </c>
      <c r="H142" s="914">
        <f t="shared" si="10"/>
        <v>956.60000000000105</v>
      </c>
      <c r="I142" s="915"/>
      <c r="J142" s="915"/>
      <c r="K142" s="916"/>
    </row>
    <row r="143" spans="1:11" ht="15" x14ac:dyDescent="0.25">
      <c r="A143" s="909"/>
      <c r="B143" s="910">
        <f t="shared" si="3"/>
        <v>56</v>
      </c>
      <c r="C143" s="917">
        <f t="shared" si="11"/>
        <v>807.09999999999832</v>
      </c>
      <c r="D143" s="917">
        <f t="shared" si="11"/>
        <v>848.29999999999825</v>
      </c>
      <c r="E143" s="917">
        <f t="shared" si="9"/>
        <v>1273.9999999999982</v>
      </c>
      <c r="F143" s="236"/>
      <c r="G143" s="912">
        <f t="shared" si="2"/>
        <v>723.0999999999982</v>
      </c>
      <c r="H143" s="914">
        <f t="shared" si="10"/>
        <v>971.80000000000109</v>
      </c>
      <c r="I143" s="915"/>
      <c r="J143" s="915"/>
      <c r="K143" s="916"/>
    </row>
    <row r="144" spans="1:11" ht="15" x14ac:dyDescent="0.25">
      <c r="A144" s="909"/>
      <c r="B144" s="910">
        <f t="shared" si="3"/>
        <v>57</v>
      </c>
      <c r="C144" s="917">
        <f t="shared" si="11"/>
        <v>817.39999999999827</v>
      </c>
      <c r="D144" s="917">
        <f t="shared" si="11"/>
        <v>858.5999999999982</v>
      </c>
      <c r="E144" s="917">
        <f t="shared" si="9"/>
        <v>1290.5999999999981</v>
      </c>
      <c r="F144" s="236"/>
      <c r="G144" s="912">
        <f t="shared" si="2"/>
        <v>733.39999999999816</v>
      </c>
      <c r="H144" s="914">
        <f t="shared" si="10"/>
        <v>987.00000000000114</v>
      </c>
      <c r="I144" s="915"/>
      <c r="J144" s="915"/>
      <c r="K144" s="916"/>
    </row>
    <row r="145" spans="1:11" ht="15" x14ac:dyDescent="0.25">
      <c r="A145" s="909"/>
      <c r="B145" s="910">
        <f t="shared" si="3"/>
        <v>58</v>
      </c>
      <c r="C145" s="917">
        <f t="shared" si="11"/>
        <v>827.69999999999823</v>
      </c>
      <c r="D145" s="917">
        <f t="shared" si="11"/>
        <v>868.89999999999816</v>
      </c>
      <c r="E145" s="917">
        <f t="shared" si="9"/>
        <v>1307.199999999998</v>
      </c>
      <c r="F145" s="236"/>
      <c r="G145" s="912">
        <f t="shared" si="2"/>
        <v>743.69999999999811</v>
      </c>
      <c r="H145" s="914">
        <f t="shared" si="10"/>
        <v>1002.2000000000012</v>
      </c>
      <c r="I145" s="915"/>
      <c r="J145" s="915"/>
      <c r="K145" s="916"/>
    </row>
    <row r="146" spans="1:11" ht="15" x14ac:dyDescent="0.25">
      <c r="A146" s="909"/>
      <c r="B146" s="910">
        <f t="shared" si="3"/>
        <v>59</v>
      </c>
      <c r="C146" s="917">
        <f t="shared" si="11"/>
        <v>837.99999999999818</v>
      </c>
      <c r="D146" s="917">
        <f t="shared" si="11"/>
        <v>879.19999999999811</v>
      </c>
      <c r="E146" s="917">
        <f t="shared" si="9"/>
        <v>1323.7999999999979</v>
      </c>
      <c r="F146" s="236"/>
      <c r="G146" s="912">
        <f t="shared" si="2"/>
        <v>753.99999999999807</v>
      </c>
      <c r="H146" s="914">
        <f t="shared" si="10"/>
        <v>1017.4000000000012</v>
      </c>
      <c r="I146" s="915"/>
      <c r="J146" s="915"/>
      <c r="K146" s="916"/>
    </row>
    <row r="147" spans="1:11" ht="15" x14ac:dyDescent="0.25">
      <c r="A147" s="909"/>
      <c r="B147" s="910">
        <f t="shared" si="3"/>
        <v>60</v>
      </c>
      <c r="C147" s="917">
        <f t="shared" si="11"/>
        <v>848.29999999999814</v>
      </c>
      <c r="D147" s="917">
        <f t="shared" si="11"/>
        <v>889.49999999999807</v>
      </c>
      <c r="E147" s="917">
        <f t="shared" si="9"/>
        <v>1340.3999999999978</v>
      </c>
      <c r="F147" s="236"/>
      <c r="G147" s="912">
        <f t="shared" si="2"/>
        <v>764.29999999999802</v>
      </c>
      <c r="H147" s="914">
        <f t="shared" si="10"/>
        <v>1032.6000000000013</v>
      </c>
      <c r="I147" s="915"/>
      <c r="J147" s="915"/>
      <c r="K147" s="916"/>
    </row>
    <row r="148" spans="1:11" ht="15" x14ac:dyDescent="0.25">
      <c r="A148" s="909"/>
      <c r="B148" s="910">
        <f t="shared" si="3"/>
        <v>61</v>
      </c>
      <c r="C148" s="917">
        <f t="shared" si="11"/>
        <v>858.59999999999809</v>
      </c>
      <c r="D148" s="917">
        <f t="shared" si="11"/>
        <v>899.79999999999802</v>
      </c>
      <c r="E148" s="917">
        <f t="shared" si="9"/>
        <v>1356.9999999999977</v>
      </c>
      <c r="F148" s="236"/>
      <c r="G148" s="912">
        <f t="shared" si="2"/>
        <v>774.59999999999798</v>
      </c>
      <c r="H148" s="914">
        <f t="shared" si="10"/>
        <v>1047.8000000000013</v>
      </c>
      <c r="I148" s="915"/>
      <c r="J148" s="915"/>
      <c r="K148" s="916"/>
    </row>
    <row r="149" spans="1:11" ht="15" x14ac:dyDescent="0.25">
      <c r="A149" s="909"/>
      <c r="B149" s="910">
        <f t="shared" si="3"/>
        <v>62</v>
      </c>
      <c r="C149" s="917">
        <f t="shared" si="11"/>
        <v>868.89999999999804</v>
      </c>
      <c r="D149" s="917">
        <f t="shared" si="11"/>
        <v>910.09999999999798</v>
      </c>
      <c r="E149" s="917">
        <f t="shared" si="9"/>
        <v>1373.5999999999976</v>
      </c>
      <c r="F149" s="236"/>
      <c r="G149" s="912">
        <f t="shared" si="2"/>
        <v>784.89999999999793</v>
      </c>
      <c r="H149" s="914">
        <f t="shared" si="10"/>
        <v>1063.0000000000014</v>
      </c>
      <c r="I149" s="915"/>
      <c r="J149" s="915"/>
      <c r="K149" s="916"/>
    </row>
    <row r="150" spans="1:11" ht="15" x14ac:dyDescent="0.25">
      <c r="A150" s="909"/>
      <c r="B150" s="910">
        <f t="shared" si="3"/>
        <v>63</v>
      </c>
      <c r="C150" s="917">
        <f t="shared" si="11"/>
        <v>879.199999999998</v>
      </c>
      <c r="D150" s="917">
        <f t="shared" si="11"/>
        <v>920.39999999999793</v>
      </c>
      <c r="E150" s="917">
        <f t="shared" si="9"/>
        <v>1390.1999999999975</v>
      </c>
      <c r="F150" s="236"/>
      <c r="G150" s="912">
        <f t="shared" si="2"/>
        <v>795.19999999999789</v>
      </c>
      <c r="H150" s="914">
        <f t="shared" si="10"/>
        <v>1078.2000000000014</v>
      </c>
      <c r="I150" s="915"/>
      <c r="J150" s="915"/>
      <c r="K150" s="916"/>
    </row>
    <row r="151" spans="1:11" ht="15" x14ac:dyDescent="0.25">
      <c r="A151" s="909"/>
      <c r="B151" s="910">
        <f t="shared" si="3"/>
        <v>64</v>
      </c>
      <c r="C151" s="917">
        <f t="shared" ref="C151:D166" si="12">C150+$A$118</f>
        <v>889.49999999999795</v>
      </c>
      <c r="D151" s="917">
        <f t="shared" si="12"/>
        <v>930.69999999999789</v>
      </c>
      <c r="E151" s="917">
        <f t="shared" si="9"/>
        <v>1406.7999999999975</v>
      </c>
      <c r="F151" s="236"/>
      <c r="G151" s="912">
        <f t="shared" ref="G151:G214" si="13">D151-$D$82</f>
        <v>805.49999999999784</v>
      </c>
      <c r="H151" s="914">
        <f t="shared" si="10"/>
        <v>1093.4000000000015</v>
      </c>
      <c r="I151" s="915"/>
      <c r="J151" s="915"/>
      <c r="K151" s="916"/>
    </row>
    <row r="152" spans="1:11" ht="15" x14ac:dyDescent="0.25">
      <c r="A152" s="909"/>
      <c r="B152" s="910">
        <f t="shared" si="3"/>
        <v>65</v>
      </c>
      <c r="C152" s="917">
        <f t="shared" si="12"/>
        <v>899.79999999999791</v>
      </c>
      <c r="D152" s="917">
        <f t="shared" si="12"/>
        <v>940.99999999999784</v>
      </c>
      <c r="E152" s="917">
        <f t="shared" si="9"/>
        <v>1423.3999999999974</v>
      </c>
      <c r="F152" s="236"/>
      <c r="G152" s="912">
        <f t="shared" si="13"/>
        <v>815.79999999999779</v>
      </c>
      <c r="H152" s="914">
        <f t="shared" si="10"/>
        <v>1108.6000000000015</v>
      </c>
      <c r="I152" s="915"/>
      <c r="J152" s="915"/>
      <c r="K152" s="916"/>
    </row>
    <row r="153" spans="1:11" ht="15" x14ac:dyDescent="0.25">
      <c r="A153" s="909"/>
      <c r="B153" s="910">
        <f t="shared" ref="B153:B216" si="14">+B152+1</f>
        <v>66</v>
      </c>
      <c r="C153" s="917">
        <f t="shared" si="12"/>
        <v>910.09999999999786</v>
      </c>
      <c r="D153" s="917">
        <f t="shared" si="12"/>
        <v>951.29999999999779</v>
      </c>
      <c r="E153" s="917">
        <f t="shared" si="9"/>
        <v>1439.9999999999973</v>
      </c>
      <c r="F153" s="236"/>
      <c r="G153" s="912">
        <f t="shared" si="13"/>
        <v>826.09999999999775</v>
      </c>
      <c r="H153" s="914">
        <f t="shared" si="10"/>
        <v>1123.8000000000015</v>
      </c>
      <c r="I153" s="915"/>
      <c r="J153" s="915"/>
      <c r="K153" s="916"/>
    </row>
    <row r="154" spans="1:11" ht="15" x14ac:dyDescent="0.25">
      <c r="A154" s="909"/>
      <c r="B154" s="910">
        <f t="shared" si="14"/>
        <v>67</v>
      </c>
      <c r="C154" s="917">
        <f t="shared" si="12"/>
        <v>920.39999999999782</v>
      </c>
      <c r="D154" s="917">
        <f t="shared" si="12"/>
        <v>961.59999999999775</v>
      </c>
      <c r="E154" s="917">
        <f t="shared" si="9"/>
        <v>1456.5999999999972</v>
      </c>
      <c r="F154" s="236"/>
      <c r="G154" s="912">
        <f t="shared" si="13"/>
        <v>836.3999999999977</v>
      </c>
      <c r="H154" s="914">
        <f t="shared" si="10"/>
        <v>1139.0000000000016</v>
      </c>
      <c r="I154" s="915"/>
      <c r="J154" s="915"/>
      <c r="K154" s="916"/>
    </row>
    <row r="155" spans="1:11" ht="15" x14ac:dyDescent="0.25">
      <c r="A155" s="909"/>
      <c r="B155" s="910">
        <f t="shared" si="14"/>
        <v>68</v>
      </c>
      <c r="C155" s="917">
        <f t="shared" si="12"/>
        <v>930.69999999999777</v>
      </c>
      <c r="D155" s="917">
        <f t="shared" si="12"/>
        <v>971.8999999999977</v>
      </c>
      <c r="E155" s="917">
        <f t="shared" si="9"/>
        <v>1473.1999999999971</v>
      </c>
      <c r="F155" s="236"/>
      <c r="G155" s="912">
        <f t="shared" si="13"/>
        <v>846.69999999999766</v>
      </c>
      <c r="H155" s="914">
        <f t="shared" si="10"/>
        <v>1154.2000000000016</v>
      </c>
      <c r="I155" s="915"/>
      <c r="J155" s="915"/>
      <c r="K155" s="916"/>
    </row>
    <row r="156" spans="1:11" ht="15" x14ac:dyDescent="0.25">
      <c r="A156" s="909"/>
      <c r="B156" s="910">
        <f t="shared" si="14"/>
        <v>69</v>
      </c>
      <c r="C156" s="917">
        <f t="shared" si="12"/>
        <v>940.99999999999773</v>
      </c>
      <c r="D156" s="917">
        <f t="shared" si="12"/>
        <v>982.19999999999766</v>
      </c>
      <c r="E156" s="917">
        <f t="shared" si="9"/>
        <v>1489.799999999997</v>
      </c>
      <c r="F156" s="236"/>
      <c r="G156" s="912">
        <f t="shared" si="13"/>
        <v>856.99999999999761</v>
      </c>
      <c r="H156" s="914">
        <f t="shared" si="10"/>
        <v>1169.4000000000017</v>
      </c>
      <c r="I156" s="915"/>
      <c r="J156" s="915"/>
      <c r="K156" s="916"/>
    </row>
    <row r="157" spans="1:11" ht="15" x14ac:dyDescent="0.25">
      <c r="A157" s="909"/>
      <c r="B157" s="910">
        <f t="shared" si="14"/>
        <v>70</v>
      </c>
      <c r="C157" s="917">
        <f t="shared" si="12"/>
        <v>951.29999999999768</v>
      </c>
      <c r="D157" s="917">
        <f t="shared" si="12"/>
        <v>992.49999999999761</v>
      </c>
      <c r="E157" s="917">
        <f t="shared" si="9"/>
        <v>1506.3999999999969</v>
      </c>
      <c r="F157" s="236"/>
      <c r="G157" s="912">
        <f t="shared" si="13"/>
        <v>867.29999999999757</v>
      </c>
      <c r="H157" s="914">
        <f t="shared" si="10"/>
        <v>1184.6000000000017</v>
      </c>
      <c r="I157" s="915"/>
      <c r="J157" s="915"/>
      <c r="K157" s="916"/>
    </row>
    <row r="158" spans="1:11" ht="15" x14ac:dyDescent="0.25">
      <c r="A158" s="909"/>
      <c r="B158" s="910">
        <f t="shared" si="14"/>
        <v>71</v>
      </c>
      <c r="C158" s="917">
        <f t="shared" si="12"/>
        <v>961.59999999999764</v>
      </c>
      <c r="D158" s="917">
        <f t="shared" si="12"/>
        <v>1002.7999999999976</v>
      </c>
      <c r="E158" s="917">
        <f t="shared" si="9"/>
        <v>1522.9999999999968</v>
      </c>
      <c r="F158" s="236"/>
      <c r="G158" s="912">
        <f t="shared" si="13"/>
        <v>877.59999999999752</v>
      </c>
      <c r="H158" s="914">
        <f t="shared" si="10"/>
        <v>1199.8000000000018</v>
      </c>
      <c r="I158" s="915"/>
      <c r="J158" s="915"/>
      <c r="K158" s="916"/>
    </row>
    <row r="159" spans="1:11" ht="15" x14ac:dyDescent="0.25">
      <c r="A159" s="909"/>
      <c r="B159" s="910">
        <f t="shared" si="14"/>
        <v>72</v>
      </c>
      <c r="C159" s="917">
        <f t="shared" si="12"/>
        <v>971.89999999999759</v>
      </c>
      <c r="D159" s="917">
        <f t="shared" si="12"/>
        <v>1013.0999999999975</v>
      </c>
      <c r="E159" s="917">
        <f t="shared" si="9"/>
        <v>1539.5999999999967</v>
      </c>
      <c r="F159" s="236"/>
      <c r="G159" s="912">
        <f t="shared" si="13"/>
        <v>887.89999999999748</v>
      </c>
      <c r="H159" s="914">
        <f t="shared" si="10"/>
        <v>1215.0000000000018</v>
      </c>
      <c r="I159" s="915"/>
      <c r="J159" s="915"/>
      <c r="K159" s="916"/>
    </row>
    <row r="160" spans="1:11" ht="15" x14ac:dyDescent="0.25">
      <c r="A160" s="909"/>
      <c r="B160" s="910">
        <f t="shared" si="14"/>
        <v>73</v>
      </c>
      <c r="C160" s="917">
        <f t="shared" si="12"/>
        <v>982.19999999999754</v>
      </c>
      <c r="D160" s="917">
        <f t="shared" si="12"/>
        <v>1023.3999999999975</v>
      </c>
      <c r="E160" s="917">
        <f t="shared" si="9"/>
        <v>1556.1999999999966</v>
      </c>
      <c r="F160" s="236"/>
      <c r="G160" s="912">
        <f t="shared" si="13"/>
        <v>898.19999999999743</v>
      </c>
      <c r="H160" s="914">
        <f t="shared" si="10"/>
        <v>1230.2000000000019</v>
      </c>
      <c r="I160" s="915"/>
      <c r="J160" s="915"/>
      <c r="K160" s="916"/>
    </row>
    <row r="161" spans="1:11" ht="15" x14ac:dyDescent="0.25">
      <c r="A161" s="909"/>
      <c r="B161" s="910">
        <f t="shared" si="14"/>
        <v>74</v>
      </c>
      <c r="C161" s="917">
        <f t="shared" si="12"/>
        <v>992.4999999999975</v>
      </c>
      <c r="D161" s="917">
        <f t="shared" si="12"/>
        <v>1033.6999999999975</v>
      </c>
      <c r="E161" s="917">
        <f t="shared" si="9"/>
        <v>1572.7999999999965</v>
      </c>
      <c r="F161" s="236"/>
      <c r="G161" s="912">
        <f t="shared" si="13"/>
        <v>908.4999999999975</v>
      </c>
      <c r="H161" s="914">
        <f t="shared" si="10"/>
        <v>1245.4000000000019</v>
      </c>
      <c r="I161" s="915"/>
      <c r="J161" s="915"/>
      <c r="K161" s="916"/>
    </row>
    <row r="162" spans="1:11" ht="15" x14ac:dyDescent="0.25">
      <c r="A162" s="909"/>
      <c r="B162" s="910">
        <f t="shared" si="14"/>
        <v>75</v>
      </c>
      <c r="C162" s="917">
        <f t="shared" si="12"/>
        <v>1002.7999999999975</v>
      </c>
      <c r="D162" s="917">
        <f t="shared" si="12"/>
        <v>1043.9999999999975</v>
      </c>
      <c r="E162" s="917">
        <f t="shared" si="9"/>
        <v>1589.3999999999965</v>
      </c>
      <c r="F162" s="236"/>
      <c r="G162" s="912">
        <f t="shared" si="13"/>
        <v>918.79999999999745</v>
      </c>
      <c r="H162" s="914">
        <f t="shared" si="10"/>
        <v>1260.600000000002</v>
      </c>
      <c r="I162" s="915"/>
      <c r="J162" s="915"/>
      <c r="K162" s="916"/>
    </row>
    <row r="163" spans="1:11" ht="15" x14ac:dyDescent="0.25">
      <c r="A163" s="909"/>
      <c r="B163" s="910">
        <f t="shared" si="14"/>
        <v>76</v>
      </c>
      <c r="C163" s="917">
        <f t="shared" si="12"/>
        <v>1013.0999999999974</v>
      </c>
      <c r="D163" s="917">
        <f t="shared" si="12"/>
        <v>1054.2999999999975</v>
      </c>
      <c r="E163" s="917">
        <f t="shared" si="9"/>
        <v>1605.9999999999964</v>
      </c>
      <c r="F163" s="236"/>
      <c r="G163" s="912">
        <f t="shared" si="13"/>
        <v>929.09999999999741</v>
      </c>
      <c r="H163" s="914">
        <f t="shared" si="10"/>
        <v>1275.800000000002</v>
      </c>
      <c r="I163" s="915"/>
      <c r="J163" s="915"/>
      <c r="K163" s="916"/>
    </row>
    <row r="164" spans="1:11" ht="15" x14ac:dyDescent="0.25">
      <c r="A164" s="909"/>
      <c r="B164" s="910">
        <f t="shared" si="14"/>
        <v>77</v>
      </c>
      <c r="C164" s="917">
        <f t="shared" si="12"/>
        <v>1023.3999999999974</v>
      </c>
      <c r="D164" s="917">
        <f t="shared" si="12"/>
        <v>1064.5999999999974</v>
      </c>
      <c r="E164" s="917">
        <f t="shared" si="9"/>
        <v>1622.5999999999963</v>
      </c>
      <c r="F164" s="236"/>
      <c r="G164" s="912">
        <f t="shared" si="13"/>
        <v>939.39999999999736</v>
      </c>
      <c r="H164" s="914">
        <f t="shared" si="10"/>
        <v>1291.000000000002</v>
      </c>
      <c r="I164" s="915"/>
      <c r="J164" s="915"/>
      <c r="K164" s="916"/>
    </row>
    <row r="165" spans="1:11" ht="15" x14ac:dyDescent="0.25">
      <c r="A165" s="909"/>
      <c r="B165" s="910">
        <f t="shared" si="14"/>
        <v>78</v>
      </c>
      <c r="C165" s="917">
        <f t="shared" si="12"/>
        <v>1033.6999999999973</v>
      </c>
      <c r="D165" s="917">
        <f t="shared" si="12"/>
        <v>1074.8999999999974</v>
      </c>
      <c r="E165" s="917">
        <f t="shared" si="9"/>
        <v>1639.1999999999962</v>
      </c>
      <c r="F165" s="236"/>
      <c r="G165" s="912">
        <f t="shared" si="13"/>
        <v>949.69999999999732</v>
      </c>
      <c r="H165" s="914">
        <f t="shared" si="10"/>
        <v>1306.2000000000021</v>
      </c>
      <c r="I165" s="915"/>
      <c r="J165" s="915"/>
      <c r="K165" s="916"/>
    </row>
    <row r="166" spans="1:11" ht="15" x14ac:dyDescent="0.25">
      <c r="A166" s="909"/>
      <c r="B166" s="910">
        <f t="shared" si="14"/>
        <v>79</v>
      </c>
      <c r="C166" s="917">
        <f t="shared" si="12"/>
        <v>1043.9999999999973</v>
      </c>
      <c r="D166" s="917">
        <f t="shared" si="12"/>
        <v>1085.1999999999973</v>
      </c>
      <c r="E166" s="917">
        <f t="shared" si="9"/>
        <v>1655.7999999999961</v>
      </c>
      <c r="F166" s="236"/>
      <c r="G166" s="912">
        <f t="shared" si="13"/>
        <v>959.99999999999727</v>
      </c>
      <c r="H166" s="914">
        <f t="shared" si="10"/>
        <v>1321.4000000000021</v>
      </c>
      <c r="I166" s="915"/>
      <c r="J166" s="915"/>
      <c r="K166" s="916"/>
    </row>
    <row r="167" spans="1:11" ht="15" x14ac:dyDescent="0.25">
      <c r="A167" s="909"/>
      <c r="B167" s="910">
        <f t="shared" si="14"/>
        <v>80</v>
      </c>
      <c r="C167" s="917">
        <f t="shared" ref="C167:D182" si="15">C166+$A$118</f>
        <v>1054.2999999999972</v>
      </c>
      <c r="D167" s="917">
        <f t="shared" si="15"/>
        <v>1095.4999999999973</v>
      </c>
      <c r="E167" s="917">
        <f t="shared" si="9"/>
        <v>1672.399999999996</v>
      </c>
      <c r="F167" s="236"/>
      <c r="G167" s="912">
        <f t="shared" si="13"/>
        <v>970.29999999999723</v>
      </c>
      <c r="H167" s="914">
        <f t="shared" si="10"/>
        <v>1336.6000000000022</v>
      </c>
      <c r="I167" s="915"/>
      <c r="J167" s="915"/>
      <c r="K167" s="916"/>
    </row>
    <row r="168" spans="1:11" ht="15" x14ac:dyDescent="0.25">
      <c r="A168" s="909"/>
      <c r="B168" s="910">
        <f t="shared" si="14"/>
        <v>81</v>
      </c>
      <c r="C168" s="917">
        <f t="shared" si="15"/>
        <v>1064.5999999999972</v>
      </c>
      <c r="D168" s="917">
        <f t="shared" si="15"/>
        <v>1105.7999999999972</v>
      </c>
      <c r="E168" s="917">
        <f t="shared" si="9"/>
        <v>1688.9999999999959</v>
      </c>
      <c r="F168" s="236"/>
      <c r="G168" s="912">
        <f t="shared" si="13"/>
        <v>980.59999999999718</v>
      </c>
      <c r="H168" s="914">
        <f t="shared" si="10"/>
        <v>1351.8000000000022</v>
      </c>
      <c r="I168" s="915"/>
      <c r="J168" s="915"/>
      <c r="K168" s="916"/>
    </row>
    <row r="169" spans="1:11" ht="15" x14ac:dyDescent="0.25">
      <c r="A169" s="909"/>
      <c r="B169" s="910">
        <f t="shared" si="14"/>
        <v>82</v>
      </c>
      <c r="C169" s="917">
        <f t="shared" si="15"/>
        <v>1074.8999999999971</v>
      </c>
      <c r="D169" s="917">
        <f t="shared" si="15"/>
        <v>1116.0999999999972</v>
      </c>
      <c r="E169" s="917">
        <f t="shared" si="9"/>
        <v>1705.5999999999958</v>
      </c>
      <c r="F169" s="236"/>
      <c r="G169" s="912">
        <f t="shared" si="13"/>
        <v>990.89999999999714</v>
      </c>
      <c r="H169" s="914">
        <f t="shared" si="10"/>
        <v>1367.0000000000023</v>
      </c>
      <c r="I169" s="915"/>
      <c r="J169" s="915"/>
      <c r="K169" s="916"/>
    </row>
    <row r="170" spans="1:11" ht="15" x14ac:dyDescent="0.25">
      <c r="A170" s="909"/>
      <c r="B170" s="910">
        <f t="shared" si="14"/>
        <v>83</v>
      </c>
      <c r="C170" s="917">
        <f t="shared" si="15"/>
        <v>1085.1999999999971</v>
      </c>
      <c r="D170" s="917">
        <f t="shared" si="15"/>
        <v>1126.3999999999971</v>
      </c>
      <c r="E170" s="917">
        <f t="shared" si="9"/>
        <v>1722.1999999999957</v>
      </c>
      <c r="F170" s="236"/>
      <c r="G170" s="912">
        <f t="shared" si="13"/>
        <v>1001.1999999999971</v>
      </c>
      <c r="H170" s="914">
        <f t="shared" si="10"/>
        <v>1382.2000000000023</v>
      </c>
      <c r="I170" s="915"/>
      <c r="J170" s="915"/>
      <c r="K170" s="916"/>
    </row>
    <row r="171" spans="1:11" ht="15" x14ac:dyDescent="0.25">
      <c r="A171" s="909"/>
      <c r="B171" s="910">
        <f t="shared" si="14"/>
        <v>84</v>
      </c>
      <c r="C171" s="917">
        <f t="shared" si="15"/>
        <v>1095.499999999997</v>
      </c>
      <c r="D171" s="917">
        <f t="shared" si="15"/>
        <v>1136.6999999999971</v>
      </c>
      <c r="E171" s="917">
        <f t="shared" si="9"/>
        <v>1738.7999999999956</v>
      </c>
      <c r="F171" s="236"/>
      <c r="G171" s="912">
        <f t="shared" si="13"/>
        <v>1011.499999999997</v>
      </c>
      <c r="H171" s="914">
        <f t="shared" si="10"/>
        <v>1397.4000000000024</v>
      </c>
      <c r="I171" s="915"/>
      <c r="J171" s="915"/>
      <c r="K171" s="916"/>
    </row>
    <row r="172" spans="1:11" ht="15" x14ac:dyDescent="0.25">
      <c r="A172" s="909"/>
      <c r="B172" s="910">
        <f t="shared" si="14"/>
        <v>85</v>
      </c>
      <c r="C172" s="917">
        <f t="shared" si="15"/>
        <v>1105.799999999997</v>
      </c>
      <c r="D172" s="917">
        <f t="shared" si="15"/>
        <v>1146.999999999997</v>
      </c>
      <c r="E172" s="917">
        <f t="shared" si="9"/>
        <v>1755.3999999999955</v>
      </c>
      <c r="F172" s="236"/>
      <c r="G172" s="912">
        <f t="shared" si="13"/>
        <v>1021.799999999997</v>
      </c>
      <c r="H172" s="914">
        <f t="shared" si="10"/>
        <v>1412.6000000000024</v>
      </c>
      <c r="I172" s="915"/>
      <c r="J172" s="915"/>
      <c r="K172" s="916"/>
    </row>
    <row r="173" spans="1:11" ht="15" x14ac:dyDescent="0.25">
      <c r="A173" s="909"/>
      <c r="B173" s="910">
        <f t="shared" si="14"/>
        <v>86</v>
      </c>
      <c r="C173" s="917">
        <f t="shared" si="15"/>
        <v>1116.099999999997</v>
      </c>
      <c r="D173" s="917">
        <f t="shared" si="15"/>
        <v>1157.299999999997</v>
      </c>
      <c r="E173" s="917">
        <f t="shared" si="9"/>
        <v>1771.9999999999955</v>
      </c>
      <c r="F173" s="236"/>
      <c r="G173" s="912">
        <f t="shared" si="13"/>
        <v>1032.099999999997</v>
      </c>
      <c r="H173" s="914">
        <f t="shared" si="10"/>
        <v>1427.8000000000025</v>
      </c>
      <c r="I173" s="915"/>
      <c r="J173" s="915"/>
      <c r="K173" s="916"/>
    </row>
    <row r="174" spans="1:11" ht="15" x14ac:dyDescent="0.25">
      <c r="A174" s="909"/>
      <c r="B174" s="910">
        <f t="shared" si="14"/>
        <v>87</v>
      </c>
      <c r="C174" s="917">
        <f t="shared" si="15"/>
        <v>1126.3999999999969</v>
      </c>
      <c r="D174" s="917">
        <f t="shared" si="15"/>
        <v>1167.599999999997</v>
      </c>
      <c r="E174" s="917">
        <f t="shared" si="9"/>
        <v>1788.5999999999954</v>
      </c>
      <c r="F174" s="236"/>
      <c r="G174" s="912">
        <f t="shared" si="13"/>
        <v>1042.3999999999969</v>
      </c>
      <c r="H174" s="914">
        <f t="shared" si="10"/>
        <v>1443.0000000000025</v>
      </c>
      <c r="I174" s="915"/>
      <c r="J174" s="915"/>
      <c r="K174" s="916"/>
    </row>
    <row r="175" spans="1:11" ht="15" x14ac:dyDescent="0.25">
      <c r="A175" s="909"/>
      <c r="B175" s="910">
        <f t="shared" si="14"/>
        <v>88</v>
      </c>
      <c r="C175" s="917">
        <f t="shared" si="15"/>
        <v>1136.6999999999969</v>
      </c>
      <c r="D175" s="917">
        <f t="shared" si="15"/>
        <v>1177.8999999999969</v>
      </c>
      <c r="E175" s="917">
        <f t="shared" si="9"/>
        <v>1805.1999999999953</v>
      </c>
      <c r="F175" s="236"/>
      <c r="G175" s="912">
        <f t="shared" si="13"/>
        <v>1052.6999999999969</v>
      </c>
      <c r="H175" s="914">
        <f t="shared" si="10"/>
        <v>1458.2000000000025</v>
      </c>
      <c r="I175" s="915"/>
      <c r="J175" s="915"/>
      <c r="K175" s="916"/>
    </row>
    <row r="176" spans="1:11" ht="15" x14ac:dyDescent="0.25">
      <c r="A176" s="909"/>
      <c r="B176" s="910">
        <f t="shared" si="14"/>
        <v>89</v>
      </c>
      <c r="C176" s="917">
        <f t="shared" si="15"/>
        <v>1146.9999999999968</v>
      </c>
      <c r="D176" s="917">
        <f t="shared" si="15"/>
        <v>1188.1999999999969</v>
      </c>
      <c r="E176" s="917">
        <f t="shared" si="9"/>
        <v>1821.7999999999952</v>
      </c>
      <c r="F176" s="236"/>
      <c r="G176" s="912">
        <f t="shared" si="13"/>
        <v>1062.9999999999968</v>
      </c>
      <c r="H176" s="914">
        <f t="shared" si="10"/>
        <v>1473.4000000000026</v>
      </c>
      <c r="I176" s="915"/>
      <c r="J176" s="915"/>
      <c r="K176" s="916"/>
    </row>
    <row r="177" spans="1:11" ht="15" x14ac:dyDescent="0.25">
      <c r="A177" s="909"/>
      <c r="B177" s="910">
        <f t="shared" si="14"/>
        <v>90</v>
      </c>
      <c r="C177" s="917">
        <f t="shared" si="15"/>
        <v>1157.2999999999968</v>
      </c>
      <c r="D177" s="917">
        <f t="shared" si="15"/>
        <v>1198.4999999999968</v>
      </c>
      <c r="E177" s="917">
        <f t="shared" si="9"/>
        <v>1838.3999999999951</v>
      </c>
      <c r="F177" s="236"/>
      <c r="G177" s="912">
        <f t="shared" si="13"/>
        <v>1073.2999999999968</v>
      </c>
      <c r="H177" s="914">
        <f t="shared" si="10"/>
        <v>1488.6000000000026</v>
      </c>
      <c r="I177" s="915"/>
      <c r="J177" s="915"/>
      <c r="K177" s="916"/>
    </row>
    <row r="178" spans="1:11" ht="15" x14ac:dyDescent="0.25">
      <c r="A178" s="909"/>
      <c r="B178" s="910">
        <f t="shared" si="14"/>
        <v>91</v>
      </c>
      <c r="C178" s="917">
        <f t="shared" si="15"/>
        <v>1167.5999999999967</v>
      </c>
      <c r="D178" s="917">
        <f t="shared" si="15"/>
        <v>1208.7999999999968</v>
      </c>
      <c r="E178" s="917">
        <f t="shared" si="9"/>
        <v>1854.999999999995</v>
      </c>
      <c r="F178" s="236"/>
      <c r="G178" s="912">
        <f t="shared" si="13"/>
        <v>1083.5999999999967</v>
      </c>
      <c r="H178" s="914">
        <f t="shared" si="10"/>
        <v>1503.8000000000027</v>
      </c>
      <c r="I178" s="915"/>
      <c r="J178" s="915"/>
      <c r="K178" s="916"/>
    </row>
    <row r="179" spans="1:11" ht="15" x14ac:dyDescent="0.25">
      <c r="A179" s="909"/>
      <c r="B179" s="910">
        <f t="shared" si="14"/>
        <v>92</v>
      </c>
      <c r="C179" s="917">
        <f t="shared" si="15"/>
        <v>1177.8999999999967</v>
      </c>
      <c r="D179" s="917">
        <f t="shared" si="15"/>
        <v>1219.0999999999967</v>
      </c>
      <c r="E179" s="917">
        <f t="shared" si="9"/>
        <v>1871.5999999999949</v>
      </c>
      <c r="F179" s="236"/>
      <c r="G179" s="912">
        <f t="shared" si="13"/>
        <v>1093.8999999999967</v>
      </c>
      <c r="H179" s="914">
        <f t="shared" si="10"/>
        <v>1519.0000000000027</v>
      </c>
      <c r="I179" s="915"/>
      <c r="J179" s="915"/>
      <c r="K179" s="916"/>
    </row>
    <row r="180" spans="1:11" ht="15" x14ac:dyDescent="0.25">
      <c r="A180" s="909"/>
      <c r="B180" s="910">
        <f t="shared" si="14"/>
        <v>93</v>
      </c>
      <c r="C180" s="917">
        <f t="shared" si="15"/>
        <v>1188.1999999999966</v>
      </c>
      <c r="D180" s="917">
        <f t="shared" si="15"/>
        <v>1229.3999999999967</v>
      </c>
      <c r="E180" s="917">
        <f t="shared" si="9"/>
        <v>1888.1999999999948</v>
      </c>
      <c r="F180" s="236"/>
      <c r="G180" s="912">
        <f t="shared" si="13"/>
        <v>1104.1999999999966</v>
      </c>
      <c r="H180" s="914">
        <f t="shared" si="10"/>
        <v>1534.2000000000028</v>
      </c>
      <c r="I180" s="915"/>
      <c r="J180" s="915"/>
      <c r="K180" s="916"/>
    </row>
    <row r="181" spans="1:11" ht="15" x14ac:dyDescent="0.25">
      <c r="A181" s="909"/>
      <c r="B181" s="910">
        <f t="shared" si="14"/>
        <v>94</v>
      </c>
      <c r="C181" s="917">
        <f t="shared" si="15"/>
        <v>1198.4999999999966</v>
      </c>
      <c r="D181" s="917">
        <f t="shared" si="15"/>
        <v>1239.6999999999966</v>
      </c>
      <c r="E181" s="917">
        <f t="shared" si="9"/>
        <v>1904.7999999999947</v>
      </c>
      <c r="F181" s="236"/>
      <c r="G181" s="912">
        <f t="shared" si="13"/>
        <v>1114.4999999999966</v>
      </c>
      <c r="H181" s="914">
        <f t="shared" si="10"/>
        <v>1549.4000000000028</v>
      </c>
      <c r="I181" s="915"/>
      <c r="J181" s="915"/>
      <c r="K181" s="916"/>
    </row>
    <row r="182" spans="1:11" ht="15" x14ac:dyDescent="0.25">
      <c r="A182" s="909"/>
      <c r="B182" s="910">
        <f t="shared" si="14"/>
        <v>95</v>
      </c>
      <c r="C182" s="917">
        <f t="shared" si="15"/>
        <v>1208.7999999999965</v>
      </c>
      <c r="D182" s="917">
        <f t="shared" si="15"/>
        <v>1249.9999999999966</v>
      </c>
      <c r="E182" s="917">
        <f t="shared" si="9"/>
        <v>1921.3999999999946</v>
      </c>
      <c r="F182" s="236"/>
      <c r="G182" s="912">
        <f t="shared" si="13"/>
        <v>1124.7999999999965</v>
      </c>
      <c r="H182" s="914">
        <f t="shared" si="10"/>
        <v>1564.6000000000029</v>
      </c>
      <c r="I182" s="915"/>
      <c r="J182" s="915"/>
      <c r="K182" s="916"/>
    </row>
    <row r="183" spans="1:11" ht="15" x14ac:dyDescent="0.25">
      <c r="A183" s="909"/>
      <c r="B183" s="910">
        <f t="shared" si="14"/>
        <v>96</v>
      </c>
      <c r="C183" s="917">
        <f t="shared" ref="C183:D198" si="16">C182+$A$118</f>
        <v>1219.0999999999965</v>
      </c>
      <c r="D183" s="917">
        <f t="shared" si="16"/>
        <v>1260.2999999999965</v>
      </c>
      <c r="E183" s="917">
        <f t="shared" ref="E183:E246" si="17">E182+$F$118</f>
        <v>1937.9999999999945</v>
      </c>
      <c r="F183" s="236"/>
      <c r="G183" s="912">
        <f t="shared" si="13"/>
        <v>1135.0999999999965</v>
      </c>
      <c r="H183" s="914">
        <f t="shared" ref="H183:H246" si="18">H182+$I$118</f>
        <v>1579.8000000000029</v>
      </c>
      <c r="I183" s="915"/>
      <c r="J183" s="915"/>
      <c r="K183" s="916"/>
    </row>
    <row r="184" spans="1:11" ht="15" x14ac:dyDescent="0.25">
      <c r="A184" s="909"/>
      <c r="B184" s="910">
        <f t="shared" si="14"/>
        <v>97</v>
      </c>
      <c r="C184" s="917">
        <f t="shared" si="16"/>
        <v>1229.3999999999965</v>
      </c>
      <c r="D184" s="917">
        <f t="shared" si="16"/>
        <v>1270.5999999999965</v>
      </c>
      <c r="E184" s="917">
        <f t="shared" si="17"/>
        <v>1954.5999999999945</v>
      </c>
      <c r="F184" s="236"/>
      <c r="G184" s="912">
        <f t="shared" si="13"/>
        <v>1145.3999999999965</v>
      </c>
      <c r="H184" s="914">
        <f t="shared" si="18"/>
        <v>1595.000000000003</v>
      </c>
      <c r="I184" s="915"/>
      <c r="J184" s="915"/>
      <c r="K184" s="916"/>
    </row>
    <row r="185" spans="1:11" ht="15" x14ac:dyDescent="0.25">
      <c r="A185" s="909"/>
      <c r="B185" s="910">
        <f t="shared" si="14"/>
        <v>98</v>
      </c>
      <c r="C185" s="917">
        <f t="shared" si="16"/>
        <v>1239.6999999999964</v>
      </c>
      <c r="D185" s="917">
        <f t="shared" si="16"/>
        <v>1280.8999999999965</v>
      </c>
      <c r="E185" s="917">
        <f t="shared" si="17"/>
        <v>1971.1999999999944</v>
      </c>
      <c r="F185" s="236"/>
      <c r="G185" s="912">
        <f t="shared" si="13"/>
        <v>1155.6999999999964</v>
      </c>
      <c r="H185" s="914">
        <f t="shared" si="18"/>
        <v>1610.200000000003</v>
      </c>
      <c r="I185" s="915"/>
      <c r="J185" s="915"/>
      <c r="K185" s="916"/>
    </row>
    <row r="186" spans="1:11" ht="15" x14ac:dyDescent="0.25">
      <c r="A186" s="909"/>
      <c r="B186" s="910">
        <f t="shared" si="14"/>
        <v>99</v>
      </c>
      <c r="C186" s="917">
        <f t="shared" si="16"/>
        <v>1249.9999999999964</v>
      </c>
      <c r="D186" s="917">
        <f t="shared" si="16"/>
        <v>1291.1999999999964</v>
      </c>
      <c r="E186" s="917">
        <f t="shared" si="17"/>
        <v>1987.7999999999943</v>
      </c>
      <c r="F186" s="236"/>
      <c r="G186" s="912">
        <f t="shared" si="13"/>
        <v>1165.9999999999964</v>
      </c>
      <c r="H186" s="914">
        <f t="shared" si="18"/>
        <v>1625.400000000003</v>
      </c>
      <c r="I186" s="915"/>
      <c r="J186" s="915"/>
      <c r="K186" s="916"/>
    </row>
    <row r="187" spans="1:11" ht="15" x14ac:dyDescent="0.25">
      <c r="A187" s="909"/>
      <c r="B187" s="910">
        <f t="shared" si="14"/>
        <v>100</v>
      </c>
      <c r="C187" s="917">
        <f t="shared" si="16"/>
        <v>1260.2999999999963</v>
      </c>
      <c r="D187" s="917">
        <f t="shared" si="16"/>
        <v>1301.4999999999964</v>
      </c>
      <c r="E187" s="917">
        <f t="shared" si="17"/>
        <v>2004.3999999999942</v>
      </c>
      <c r="F187" s="236"/>
      <c r="G187" s="912">
        <f t="shared" si="13"/>
        <v>1176.2999999999963</v>
      </c>
      <c r="H187" s="914">
        <f t="shared" si="18"/>
        <v>1640.6000000000031</v>
      </c>
      <c r="I187" s="915"/>
      <c r="J187" s="915"/>
      <c r="K187" s="916"/>
    </row>
    <row r="188" spans="1:11" ht="15" x14ac:dyDescent="0.25">
      <c r="A188" s="909"/>
      <c r="B188" s="910">
        <f t="shared" si="14"/>
        <v>101</v>
      </c>
      <c r="C188" s="917">
        <f t="shared" si="16"/>
        <v>1270.5999999999963</v>
      </c>
      <c r="D188" s="917">
        <f t="shared" si="16"/>
        <v>1311.7999999999963</v>
      </c>
      <c r="E188" s="917">
        <f t="shared" si="17"/>
        <v>2020.9999999999941</v>
      </c>
      <c r="F188" s="236"/>
      <c r="G188" s="912">
        <f t="shared" si="13"/>
        <v>1186.5999999999963</v>
      </c>
      <c r="H188" s="914">
        <f t="shared" si="18"/>
        <v>1655.8000000000031</v>
      </c>
      <c r="I188" s="915"/>
      <c r="J188" s="915"/>
      <c r="K188" s="916"/>
    </row>
    <row r="189" spans="1:11" ht="15" x14ac:dyDescent="0.25">
      <c r="A189" s="909"/>
      <c r="B189" s="910">
        <f t="shared" si="14"/>
        <v>102</v>
      </c>
      <c r="C189" s="917">
        <f t="shared" si="16"/>
        <v>1280.8999999999962</v>
      </c>
      <c r="D189" s="917">
        <f t="shared" si="16"/>
        <v>1322.0999999999963</v>
      </c>
      <c r="E189" s="917">
        <f t="shared" si="17"/>
        <v>2037.599999999994</v>
      </c>
      <c r="F189" s="236"/>
      <c r="G189" s="912">
        <f t="shared" si="13"/>
        <v>1196.8999999999962</v>
      </c>
      <c r="H189" s="914">
        <f t="shared" si="18"/>
        <v>1671.0000000000032</v>
      </c>
      <c r="I189" s="915"/>
      <c r="J189" s="915"/>
      <c r="K189" s="916"/>
    </row>
    <row r="190" spans="1:11" ht="15" x14ac:dyDescent="0.25">
      <c r="A190" s="909"/>
      <c r="B190" s="910">
        <f t="shared" si="14"/>
        <v>103</v>
      </c>
      <c r="C190" s="917">
        <f t="shared" si="16"/>
        <v>1291.1999999999962</v>
      </c>
      <c r="D190" s="917">
        <f t="shared" si="16"/>
        <v>1332.3999999999962</v>
      </c>
      <c r="E190" s="917">
        <f t="shared" si="17"/>
        <v>2054.1999999999939</v>
      </c>
      <c r="F190" s="236"/>
      <c r="G190" s="912">
        <f t="shared" si="13"/>
        <v>1207.1999999999962</v>
      </c>
      <c r="H190" s="914">
        <f t="shared" si="18"/>
        <v>1686.2000000000032</v>
      </c>
      <c r="I190" s="915"/>
      <c r="J190" s="915"/>
      <c r="K190" s="916"/>
    </row>
    <row r="191" spans="1:11" ht="15" x14ac:dyDescent="0.25">
      <c r="A191" s="909"/>
      <c r="B191" s="910">
        <f t="shared" si="14"/>
        <v>104</v>
      </c>
      <c r="C191" s="917">
        <f t="shared" si="16"/>
        <v>1301.4999999999961</v>
      </c>
      <c r="D191" s="917">
        <f t="shared" si="16"/>
        <v>1342.6999999999962</v>
      </c>
      <c r="E191" s="917">
        <f t="shared" si="17"/>
        <v>2070.7999999999938</v>
      </c>
      <c r="F191" s="236"/>
      <c r="G191" s="912">
        <f t="shared" si="13"/>
        <v>1217.4999999999961</v>
      </c>
      <c r="H191" s="914">
        <f t="shared" si="18"/>
        <v>1701.4000000000033</v>
      </c>
      <c r="I191" s="915"/>
      <c r="J191" s="915"/>
      <c r="K191" s="916"/>
    </row>
    <row r="192" spans="1:11" ht="15" x14ac:dyDescent="0.25">
      <c r="A192" s="909"/>
      <c r="B192" s="910">
        <f t="shared" si="14"/>
        <v>105</v>
      </c>
      <c r="C192" s="917">
        <f t="shared" si="16"/>
        <v>1311.7999999999961</v>
      </c>
      <c r="D192" s="917">
        <f t="shared" si="16"/>
        <v>1352.9999999999961</v>
      </c>
      <c r="E192" s="917">
        <f t="shared" si="17"/>
        <v>2087.3999999999937</v>
      </c>
      <c r="F192" s="236"/>
      <c r="G192" s="912">
        <f t="shared" si="13"/>
        <v>1227.7999999999961</v>
      </c>
      <c r="H192" s="914">
        <f t="shared" si="18"/>
        <v>1716.6000000000033</v>
      </c>
      <c r="I192" s="915"/>
      <c r="J192" s="915"/>
      <c r="K192" s="916"/>
    </row>
    <row r="193" spans="1:11" ht="15" x14ac:dyDescent="0.25">
      <c r="A193" s="909"/>
      <c r="B193" s="910">
        <f t="shared" si="14"/>
        <v>106</v>
      </c>
      <c r="C193" s="917">
        <f t="shared" si="16"/>
        <v>1322.099999999996</v>
      </c>
      <c r="D193" s="917">
        <f t="shared" si="16"/>
        <v>1363.2999999999961</v>
      </c>
      <c r="E193" s="917">
        <f t="shared" si="17"/>
        <v>2103.9999999999936</v>
      </c>
      <c r="F193" s="236"/>
      <c r="G193" s="912">
        <f t="shared" si="13"/>
        <v>1238.099999999996</v>
      </c>
      <c r="H193" s="914">
        <f t="shared" si="18"/>
        <v>1731.8000000000034</v>
      </c>
      <c r="I193" s="915"/>
      <c r="J193" s="915"/>
      <c r="K193" s="916"/>
    </row>
    <row r="194" spans="1:11" ht="15" x14ac:dyDescent="0.25">
      <c r="A194" s="909"/>
      <c r="B194" s="910">
        <f t="shared" si="14"/>
        <v>107</v>
      </c>
      <c r="C194" s="917">
        <f t="shared" si="16"/>
        <v>1332.399999999996</v>
      </c>
      <c r="D194" s="917">
        <f t="shared" si="16"/>
        <v>1373.599999999996</v>
      </c>
      <c r="E194" s="917">
        <f t="shared" si="17"/>
        <v>2120.5999999999935</v>
      </c>
      <c r="F194" s="236"/>
      <c r="G194" s="912">
        <f t="shared" si="13"/>
        <v>1248.399999999996</v>
      </c>
      <c r="H194" s="914">
        <f t="shared" si="18"/>
        <v>1747.0000000000034</v>
      </c>
      <c r="I194" s="915"/>
      <c r="J194" s="915"/>
      <c r="K194" s="916"/>
    </row>
    <row r="195" spans="1:11" ht="15" x14ac:dyDescent="0.25">
      <c r="A195" s="909"/>
      <c r="B195" s="910">
        <f t="shared" si="14"/>
        <v>108</v>
      </c>
      <c r="C195" s="917">
        <f t="shared" si="16"/>
        <v>1342.699999999996</v>
      </c>
      <c r="D195" s="917">
        <f t="shared" si="16"/>
        <v>1383.899999999996</v>
      </c>
      <c r="E195" s="917">
        <f t="shared" si="17"/>
        <v>2137.1999999999935</v>
      </c>
      <c r="F195" s="236"/>
      <c r="G195" s="912">
        <f t="shared" si="13"/>
        <v>1258.699999999996</v>
      </c>
      <c r="H195" s="914">
        <f t="shared" si="18"/>
        <v>1762.2000000000035</v>
      </c>
      <c r="I195" s="915"/>
      <c r="J195" s="915"/>
      <c r="K195" s="916"/>
    </row>
    <row r="196" spans="1:11" ht="15" x14ac:dyDescent="0.25">
      <c r="A196" s="909"/>
      <c r="B196" s="910">
        <f t="shared" si="14"/>
        <v>109</v>
      </c>
      <c r="C196" s="917">
        <f t="shared" si="16"/>
        <v>1352.9999999999959</v>
      </c>
      <c r="D196" s="917">
        <f t="shared" si="16"/>
        <v>1394.199999999996</v>
      </c>
      <c r="E196" s="917">
        <f t="shared" si="17"/>
        <v>2153.7999999999934</v>
      </c>
      <c r="F196" s="236"/>
      <c r="G196" s="912">
        <f t="shared" si="13"/>
        <v>1268.9999999999959</v>
      </c>
      <c r="H196" s="914">
        <f t="shared" si="18"/>
        <v>1777.4000000000035</v>
      </c>
      <c r="I196" s="915"/>
      <c r="J196" s="915"/>
      <c r="K196" s="916"/>
    </row>
    <row r="197" spans="1:11" ht="15" x14ac:dyDescent="0.25">
      <c r="A197" s="909"/>
      <c r="B197" s="910">
        <f t="shared" si="14"/>
        <v>110</v>
      </c>
      <c r="C197" s="917">
        <f t="shared" si="16"/>
        <v>1363.2999999999959</v>
      </c>
      <c r="D197" s="917">
        <f t="shared" si="16"/>
        <v>1404.4999999999959</v>
      </c>
      <c r="E197" s="917">
        <f t="shared" si="17"/>
        <v>2170.3999999999933</v>
      </c>
      <c r="F197" s="236"/>
      <c r="G197" s="912">
        <f t="shared" si="13"/>
        <v>1279.2999999999959</v>
      </c>
      <c r="H197" s="914">
        <f t="shared" si="18"/>
        <v>1792.6000000000035</v>
      </c>
      <c r="I197" s="915"/>
      <c r="J197" s="915"/>
      <c r="K197" s="916"/>
    </row>
    <row r="198" spans="1:11" ht="15" x14ac:dyDescent="0.25">
      <c r="A198" s="909"/>
      <c r="B198" s="910">
        <f t="shared" si="14"/>
        <v>111</v>
      </c>
      <c r="C198" s="917">
        <f t="shared" si="16"/>
        <v>1373.5999999999958</v>
      </c>
      <c r="D198" s="917">
        <f t="shared" si="16"/>
        <v>1414.7999999999959</v>
      </c>
      <c r="E198" s="917">
        <f t="shared" si="17"/>
        <v>2186.9999999999932</v>
      </c>
      <c r="F198" s="236"/>
      <c r="G198" s="912">
        <f t="shared" si="13"/>
        <v>1289.5999999999958</v>
      </c>
      <c r="H198" s="914">
        <f t="shared" si="18"/>
        <v>1807.8000000000036</v>
      </c>
      <c r="I198" s="915"/>
      <c r="J198" s="915"/>
      <c r="K198" s="916"/>
    </row>
    <row r="199" spans="1:11" ht="15" x14ac:dyDescent="0.25">
      <c r="A199" s="909"/>
      <c r="B199" s="910">
        <f t="shared" si="14"/>
        <v>112</v>
      </c>
      <c r="C199" s="917">
        <f t="shared" ref="C199:D214" si="19">C198+$A$118</f>
        <v>1383.8999999999958</v>
      </c>
      <c r="D199" s="917">
        <f t="shared" si="19"/>
        <v>1425.0999999999958</v>
      </c>
      <c r="E199" s="917">
        <f t="shared" si="17"/>
        <v>2203.5999999999931</v>
      </c>
      <c r="F199" s="236"/>
      <c r="G199" s="912">
        <f t="shared" si="13"/>
        <v>1299.8999999999958</v>
      </c>
      <c r="H199" s="914">
        <f t="shared" si="18"/>
        <v>1823.0000000000036</v>
      </c>
      <c r="I199" s="915"/>
      <c r="J199" s="915"/>
      <c r="K199" s="916"/>
    </row>
    <row r="200" spans="1:11" ht="15" x14ac:dyDescent="0.25">
      <c r="A200" s="909"/>
      <c r="B200" s="910">
        <f t="shared" si="14"/>
        <v>113</v>
      </c>
      <c r="C200" s="917">
        <f t="shared" si="19"/>
        <v>1394.1999999999957</v>
      </c>
      <c r="D200" s="917">
        <f t="shared" si="19"/>
        <v>1435.3999999999958</v>
      </c>
      <c r="E200" s="917">
        <f t="shared" si="17"/>
        <v>2220.199999999993</v>
      </c>
      <c r="F200" s="236"/>
      <c r="G200" s="912">
        <f t="shared" si="13"/>
        <v>1310.1999999999957</v>
      </c>
      <c r="H200" s="914">
        <f t="shared" si="18"/>
        <v>1838.2000000000037</v>
      </c>
      <c r="I200" s="915"/>
      <c r="J200" s="915"/>
      <c r="K200" s="916"/>
    </row>
    <row r="201" spans="1:11" ht="15" x14ac:dyDescent="0.25">
      <c r="A201" s="909"/>
      <c r="B201" s="910">
        <f t="shared" si="14"/>
        <v>114</v>
      </c>
      <c r="C201" s="917">
        <f t="shared" si="19"/>
        <v>1404.4999999999957</v>
      </c>
      <c r="D201" s="917">
        <f t="shared" si="19"/>
        <v>1445.6999999999957</v>
      </c>
      <c r="E201" s="917">
        <f t="shared" si="17"/>
        <v>2236.7999999999929</v>
      </c>
      <c r="F201" s="236"/>
      <c r="G201" s="912">
        <f t="shared" si="13"/>
        <v>1320.4999999999957</v>
      </c>
      <c r="H201" s="914">
        <f t="shared" si="18"/>
        <v>1853.4000000000037</v>
      </c>
      <c r="I201" s="915"/>
      <c r="J201" s="915"/>
      <c r="K201" s="916"/>
    </row>
    <row r="202" spans="1:11" ht="15" x14ac:dyDescent="0.25">
      <c r="A202" s="909"/>
      <c r="B202" s="910">
        <f t="shared" si="14"/>
        <v>115</v>
      </c>
      <c r="C202" s="917">
        <f t="shared" si="19"/>
        <v>1414.7999999999956</v>
      </c>
      <c r="D202" s="917">
        <f t="shared" si="19"/>
        <v>1455.9999999999957</v>
      </c>
      <c r="E202" s="917">
        <f t="shared" si="17"/>
        <v>2253.3999999999928</v>
      </c>
      <c r="F202" s="236"/>
      <c r="G202" s="912">
        <f t="shared" si="13"/>
        <v>1330.7999999999956</v>
      </c>
      <c r="H202" s="914">
        <f t="shared" si="18"/>
        <v>1868.6000000000038</v>
      </c>
      <c r="I202" s="915"/>
      <c r="J202" s="915"/>
      <c r="K202" s="916"/>
    </row>
    <row r="203" spans="1:11" ht="15" x14ac:dyDescent="0.25">
      <c r="A203" s="909"/>
      <c r="B203" s="910">
        <f t="shared" si="14"/>
        <v>116</v>
      </c>
      <c r="C203" s="917">
        <f t="shared" si="19"/>
        <v>1425.0999999999956</v>
      </c>
      <c r="D203" s="917">
        <f t="shared" si="19"/>
        <v>1466.2999999999956</v>
      </c>
      <c r="E203" s="917">
        <f t="shared" si="17"/>
        <v>2269.9999999999927</v>
      </c>
      <c r="F203" s="236"/>
      <c r="G203" s="912">
        <f t="shared" si="13"/>
        <v>1341.0999999999956</v>
      </c>
      <c r="H203" s="914">
        <f t="shared" si="18"/>
        <v>1883.8000000000038</v>
      </c>
      <c r="I203" s="915"/>
      <c r="J203" s="915"/>
      <c r="K203" s="916"/>
    </row>
    <row r="204" spans="1:11" ht="15" x14ac:dyDescent="0.25">
      <c r="A204" s="909"/>
      <c r="B204" s="910">
        <f t="shared" si="14"/>
        <v>117</v>
      </c>
      <c r="C204" s="917">
        <f t="shared" si="19"/>
        <v>1435.3999999999955</v>
      </c>
      <c r="D204" s="917">
        <f t="shared" si="19"/>
        <v>1476.5999999999956</v>
      </c>
      <c r="E204" s="917">
        <f t="shared" si="17"/>
        <v>2286.5999999999926</v>
      </c>
      <c r="F204" s="236"/>
      <c r="G204" s="912">
        <f t="shared" si="13"/>
        <v>1351.3999999999955</v>
      </c>
      <c r="H204" s="914">
        <f t="shared" si="18"/>
        <v>1899.0000000000039</v>
      </c>
      <c r="I204" s="915"/>
      <c r="J204" s="915"/>
      <c r="K204" s="916"/>
    </row>
    <row r="205" spans="1:11" ht="15" x14ac:dyDescent="0.25">
      <c r="A205" s="909"/>
      <c r="B205" s="910">
        <f t="shared" si="14"/>
        <v>118</v>
      </c>
      <c r="C205" s="917">
        <f t="shared" si="19"/>
        <v>1445.6999999999955</v>
      </c>
      <c r="D205" s="917">
        <f t="shared" si="19"/>
        <v>1486.8999999999955</v>
      </c>
      <c r="E205" s="917">
        <f t="shared" si="17"/>
        <v>2303.1999999999925</v>
      </c>
      <c r="F205" s="236"/>
      <c r="G205" s="912">
        <f t="shared" si="13"/>
        <v>1361.6999999999955</v>
      </c>
      <c r="H205" s="914">
        <f t="shared" si="18"/>
        <v>1914.2000000000039</v>
      </c>
      <c r="I205" s="915"/>
      <c r="J205" s="915"/>
      <c r="K205" s="916"/>
    </row>
    <row r="206" spans="1:11" ht="15" x14ac:dyDescent="0.25">
      <c r="A206" s="909"/>
      <c r="B206" s="910">
        <f t="shared" si="14"/>
        <v>119</v>
      </c>
      <c r="C206" s="917">
        <f t="shared" si="19"/>
        <v>1455.9999999999955</v>
      </c>
      <c r="D206" s="917">
        <f t="shared" si="19"/>
        <v>1497.1999999999955</v>
      </c>
      <c r="E206" s="917">
        <f t="shared" si="17"/>
        <v>2319.7999999999925</v>
      </c>
      <c r="F206" s="236"/>
      <c r="G206" s="912">
        <f t="shared" si="13"/>
        <v>1371.9999999999955</v>
      </c>
      <c r="H206" s="914">
        <f t="shared" si="18"/>
        <v>1929.400000000004</v>
      </c>
      <c r="I206" s="915"/>
      <c r="J206" s="915"/>
      <c r="K206" s="916"/>
    </row>
    <row r="207" spans="1:11" ht="15" x14ac:dyDescent="0.25">
      <c r="A207" s="909"/>
      <c r="B207" s="910">
        <f t="shared" si="14"/>
        <v>120</v>
      </c>
      <c r="C207" s="917">
        <f t="shared" si="19"/>
        <v>1466.2999999999954</v>
      </c>
      <c r="D207" s="917">
        <f t="shared" si="19"/>
        <v>1507.4999999999955</v>
      </c>
      <c r="E207" s="917">
        <f t="shared" si="17"/>
        <v>2336.3999999999924</v>
      </c>
      <c r="F207" s="236"/>
      <c r="G207" s="912">
        <f t="shared" si="13"/>
        <v>1382.2999999999954</v>
      </c>
      <c r="H207" s="914">
        <f t="shared" si="18"/>
        <v>1944.600000000004</v>
      </c>
      <c r="I207" s="915"/>
      <c r="J207" s="915"/>
      <c r="K207" s="916"/>
    </row>
    <row r="208" spans="1:11" ht="15" x14ac:dyDescent="0.25">
      <c r="A208" s="909"/>
      <c r="B208" s="910">
        <f t="shared" si="14"/>
        <v>121</v>
      </c>
      <c r="C208" s="917">
        <f t="shared" si="19"/>
        <v>1476.5999999999954</v>
      </c>
      <c r="D208" s="917">
        <f t="shared" si="19"/>
        <v>1517.7999999999954</v>
      </c>
      <c r="E208" s="917">
        <f t="shared" si="17"/>
        <v>2352.9999999999923</v>
      </c>
      <c r="F208" s="236"/>
      <c r="G208" s="912">
        <f t="shared" si="13"/>
        <v>1392.5999999999954</v>
      </c>
      <c r="H208" s="914">
        <f t="shared" si="18"/>
        <v>1959.800000000004</v>
      </c>
      <c r="I208" s="915"/>
      <c r="J208" s="915"/>
      <c r="K208" s="916"/>
    </row>
    <row r="209" spans="1:11" ht="15" x14ac:dyDescent="0.25">
      <c r="A209" s="909"/>
      <c r="B209" s="910">
        <f t="shared" si="14"/>
        <v>122</v>
      </c>
      <c r="C209" s="917">
        <f t="shared" si="19"/>
        <v>1486.8999999999953</v>
      </c>
      <c r="D209" s="917">
        <f t="shared" si="19"/>
        <v>1528.0999999999954</v>
      </c>
      <c r="E209" s="917">
        <f t="shared" si="17"/>
        <v>2369.5999999999922</v>
      </c>
      <c r="F209" s="236"/>
      <c r="G209" s="912">
        <f t="shared" si="13"/>
        <v>1402.8999999999953</v>
      </c>
      <c r="H209" s="914">
        <f t="shared" si="18"/>
        <v>1975.0000000000041</v>
      </c>
      <c r="I209" s="915"/>
      <c r="J209" s="915"/>
      <c r="K209" s="916"/>
    </row>
    <row r="210" spans="1:11" ht="15" x14ac:dyDescent="0.25">
      <c r="A210" s="909"/>
      <c r="B210" s="910">
        <f t="shared" si="14"/>
        <v>123</v>
      </c>
      <c r="C210" s="917">
        <f t="shared" si="19"/>
        <v>1497.1999999999953</v>
      </c>
      <c r="D210" s="917">
        <f t="shared" si="19"/>
        <v>1538.3999999999953</v>
      </c>
      <c r="E210" s="917">
        <f t="shared" si="17"/>
        <v>2386.1999999999921</v>
      </c>
      <c r="F210" s="236"/>
      <c r="G210" s="912">
        <f t="shared" si="13"/>
        <v>1413.1999999999953</v>
      </c>
      <c r="H210" s="914">
        <f t="shared" si="18"/>
        <v>1990.2000000000041</v>
      </c>
      <c r="I210" s="915"/>
      <c r="J210" s="915"/>
      <c r="K210" s="916"/>
    </row>
    <row r="211" spans="1:11" ht="15" x14ac:dyDescent="0.25">
      <c r="A211" s="909"/>
      <c r="B211" s="910">
        <f t="shared" si="14"/>
        <v>124</v>
      </c>
      <c r="C211" s="917">
        <f t="shared" si="19"/>
        <v>1507.4999999999952</v>
      </c>
      <c r="D211" s="917">
        <f t="shared" si="19"/>
        <v>1548.6999999999953</v>
      </c>
      <c r="E211" s="917">
        <f t="shared" si="17"/>
        <v>2402.799999999992</v>
      </c>
      <c r="F211" s="236"/>
      <c r="G211" s="912">
        <f t="shared" si="13"/>
        <v>1423.4999999999952</v>
      </c>
      <c r="H211" s="914">
        <f t="shared" si="18"/>
        <v>2005.4000000000042</v>
      </c>
      <c r="I211" s="915"/>
      <c r="J211" s="915"/>
      <c r="K211" s="916"/>
    </row>
    <row r="212" spans="1:11" ht="15" x14ac:dyDescent="0.25">
      <c r="A212" s="909"/>
      <c r="B212" s="910">
        <f t="shared" si="14"/>
        <v>125</v>
      </c>
      <c r="C212" s="917">
        <f t="shared" si="19"/>
        <v>1517.7999999999952</v>
      </c>
      <c r="D212" s="917">
        <f t="shared" si="19"/>
        <v>1558.9999999999952</v>
      </c>
      <c r="E212" s="917">
        <f t="shared" si="17"/>
        <v>2419.3999999999919</v>
      </c>
      <c r="F212" s="236"/>
      <c r="G212" s="912">
        <f t="shared" si="13"/>
        <v>1433.7999999999952</v>
      </c>
      <c r="H212" s="914">
        <f t="shared" si="18"/>
        <v>2020.6000000000042</v>
      </c>
      <c r="I212" s="915"/>
      <c r="J212" s="915"/>
      <c r="K212" s="916"/>
    </row>
    <row r="213" spans="1:11" ht="15" x14ac:dyDescent="0.25">
      <c r="A213" s="909"/>
      <c r="B213" s="910">
        <f t="shared" si="14"/>
        <v>126</v>
      </c>
      <c r="C213" s="917">
        <f t="shared" si="19"/>
        <v>1528.0999999999951</v>
      </c>
      <c r="D213" s="917">
        <f t="shared" si="19"/>
        <v>1569.2999999999952</v>
      </c>
      <c r="E213" s="917">
        <f t="shared" si="17"/>
        <v>2435.9999999999918</v>
      </c>
      <c r="F213" s="236"/>
      <c r="G213" s="912">
        <f t="shared" si="13"/>
        <v>1444.0999999999951</v>
      </c>
      <c r="H213" s="914">
        <f t="shared" si="18"/>
        <v>2035.8000000000043</v>
      </c>
      <c r="I213" s="915"/>
      <c r="J213" s="915"/>
      <c r="K213" s="916"/>
    </row>
    <row r="214" spans="1:11" ht="15" x14ac:dyDescent="0.25">
      <c r="A214" s="909"/>
      <c r="B214" s="910">
        <f t="shared" si="14"/>
        <v>127</v>
      </c>
      <c r="C214" s="917">
        <f t="shared" si="19"/>
        <v>1538.3999999999951</v>
      </c>
      <c r="D214" s="917">
        <f t="shared" si="19"/>
        <v>1579.5999999999951</v>
      </c>
      <c r="E214" s="917">
        <f t="shared" si="17"/>
        <v>2452.5999999999917</v>
      </c>
      <c r="F214" s="236"/>
      <c r="G214" s="912">
        <f t="shared" si="13"/>
        <v>1454.3999999999951</v>
      </c>
      <c r="H214" s="914">
        <f t="shared" si="18"/>
        <v>2051.0000000000041</v>
      </c>
      <c r="I214" s="915"/>
      <c r="J214" s="915"/>
      <c r="K214" s="916"/>
    </row>
    <row r="215" spans="1:11" ht="15" x14ac:dyDescent="0.25">
      <c r="A215" s="909"/>
      <c r="B215" s="910">
        <f t="shared" si="14"/>
        <v>128</v>
      </c>
      <c r="C215" s="917">
        <f t="shared" ref="C215:D230" si="20">C214+$A$118</f>
        <v>1548.699999999995</v>
      </c>
      <c r="D215" s="917">
        <f t="shared" si="20"/>
        <v>1589.8999999999951</v>
      </c>
      <c r="E215" s="917">
        <f t="shared" si="17"/>
        <v>2469.1999999999916</v>
      </c>
      <c r="F215" s="236"/>
      <c r="G215" s="912">
        <f t="shared" ref="G215:G278" si="21">D215-$D$82</f>
        <v>1464.699999999995</v>
      </c>
      <c r="H215" s="914">
        <f t="shared" si="18"/>
        <v>2066.2000000000039</v>
      </c>
      <c r="I215" s="915"/>
      <c r="J215" s="915"/>
      <c r="K215" s="916"/>
    </row>
    <row r="216" spans="1:11" ht="15" x14ac:dyDescent="0.25">
      <c r="A216" s="909"/>
      <c r="B216" s="910">
        <f t="shared" si="14"/>
        <v>129</v>
      </c>
      <c r="C216" s="917">
        <f t="shared" si="20"/>
        <v>1558.999999999995</v>
      </c>
      <c r="D216" s="917">
        <f t="shared" si="20"/>
        <v>1600.199999999995</v>
      </c>
      <c r="E216" s="917">
        <f t="shared" si="17"/>
        <v>2485.7999999999915</v>
      </c>
      <c r="F216" s="236"/>
      <c r="G216" s="912">
        <f t="shared" si="21"/>
        <v>1474.999999999995</v>
      </c>
      <c r="H216" s="914">
        <f t="shared" si="18"/>
        <v>2081.4000000000037</v>
      </c>
      <c r="I216" s="915"/>
      <c r="J216" s="915"/>
      <c r="K216" s="916"/>
    </row>
    <row r="217" spans="1:11" ht="15" x14ac:dyDescent="0.25">
      <c r="A217" s="909"/>
      <c r="B217" s="910">
        <f t="shared" ref="B217:B280" si="22">+B216+1</f>
        <v>130</v>
      </c>
      <c r="C217" s="917">
        <f t="shared" si="20"/>
        <v>1569.299999999995</v>
      </c>
      <c r="D217" s="917">
        <f t="shared" si="20"/>
        <v>1610.499999999995</v>
      </c>
      <c r="E217" s="917">
        <f t="shared" si="17"/>
        <v>2502.3999999999915</v>
      </c>
      <c r="F217" s="236"/>
      <c r="G217" s="912">
        <f t="shared" si="21"/>
        <v>1485.299999999995</v>
      </c>
      <c r="H217" s="914">
        <f t="shared" si="18"/>
        <v>2096.6000000000035</v>
      </c>
      <c r="I217" s="915"/>
      <c r="J217" s="915"/>
      <c r="K217" s="916"/>
    </row>
    <row r="218" spans="1:11" ht="15" x14ac:dyDescent="0.25">
      <c r="A218" s="909"/>
      <c r="B218" s="910">
        <f t="shared" si="22"/>
        <v>131</v>
      </c>
      <c r="C218" s="917">
        <f t="shared" si="20"/>
        <v>1579.5999999999949</v>
      </c>
      <c r="D218" s="917">
        <f t="shared" si="20"/>
        <v>1620.799999999995</v>
      </c>
      <c r="E218" s="917">
        <f t="shared" si="17"/>
        <v>2518.9999999999914</v>
      </c>
      <c r="F218" s="236"/>
      <c r="G218" s="912">
        <f t="shared" si="21"/>
        <v>1495.5999999999949</v>
      </c>
      <c r="H218" s="914">
        <f t="shared" si="18"/>
        <v>2111.8000000000034</v>
      </c>
      <c r="I218" s="915"/>
      <c r="J218" s="915"/>
      <c r="K218" s="916"/>
    </row>
    <row r="219" spans="1:11" ht="15" x14ac:dyDescent="0.25">
      <c r="A219" s="909"/>
      <c r="B219" s="910">
        <f t="shared" si="22"/>
        <v>132</v>
      </c>
      <c r="C219" s="917">
        <f t="shared" si="20"/>
        <v>1589.8999999999949</v>
      </c>
      <c r="D219" s="917">
        <f t="shared" si="20"/>
        <v>1631.0999999999949</v>
      </c>
      <c r="E219" s="917">
        <f t="shared" si="17"/>
        <v>2535.5999999999913</v>
      </c>
      <c r="F219" s="236"/>
      <c r="G219" s="912">
        <f t="shared" si="21"/>
        <v>1505.8999999999949</v>
      </c>
      <c r="H219" s="914">
        <f t="shared" si="18"/>
        <v>2127.0000000000032</v>
      </c>
      <c r="I219" s="915"/>
      <c r="J219" s="915"/>
      <c r="K219" s="916"/>
    </row>
    <row r="220" spans="1:11" ht="15" x14ac:dyDescent="0.25">
      <c r="A220" s="909"/>
      <c r="B220" s="910">
        <f t="shared" si="22"/>
        <v>133</v>
      </c>
      <c r="C220" s="917">
        <f t="shared" si="20"/>
        <v>1600.1999999999948</v>
      </c>
      <c r="D220" s="917">
        <f t="shared" si="20"/>
        <v>1641.3999999999949</v>
      </c>
      <c r="E220" s="917">
        <f t="shared" si="17"/>
        <v>2552.1999999999912</v>
      </c>
      <c r="F220" s="236"/>
      <c r="G220" s="912">
        <f t="shared" si="21"/>
        <v>1516.1999999999948</v>
      </c>
      <c r="H220" s="914">
        <f t="shared" si="18"/>
        <v>2142.200000000003</v>
      </c>
      <c r="I220" s="915"/>
      <c r="J220" s="915"/>
      <c r="K220" s="916"/>
    </row>
    <row r="221" spans="1:11" ht="15" x14ac:dyDescent="0.25">
      <c r="A221" s="909"/>
      <c r="B221" s="910">
        <f t="shared" si="22"/>
        <v>134</v>
      </c>
      <c r="C221" s="917">
        <f t="shared" si="20"/>
        <v>1610.4999999999948</v>
      </c>
      <c r="D221" s="917">
        <f t="shared" si="20"/>
        <v>1651.6999999999948</v>
      </c>
      <c r="E221" s="917">
        <f t="shared" si="17"/>
        <v>2568.7999999999911</v>
      </c>
      <c r="F221" s="236"/>
      <c r="G221" s="912">
        <f t="shared" si="21"/>
        <v>1526.4999999999948</v>
      </c>
      <c r="H221" s="914">
        <f t="shared" si="18"/>
        <v>2157.4000000000028</v>
      </c>
      <c r="I221" s="915"/>
      <c r="J221" s="915"/>
      <c r="K221" s="916"/>
    </row>
    <row r="222" spans="1:11" ht="15" x14ac:dyDescent="0.25">
      <c r="A222" s="909"/>
      <c r="B222" s="910">
        <f t="shared" si="22"/>
        <v>135</v>
      </c>
      <c r="C222" s="917">
        <f t="shared" si="20"/>
        <v>1620.7999999999947</v>
      </c>
      <c r="D222" s="917">
        <f t="shared" si="20"/>
        <v>1661.9999999999948</v>
      </c>
      <c r="E222" s="917">
        <f t="shared" si="17"/>
        <v>2585.399999999991</v>
      </c>
      <c r="F222" s="236"/>
      <c r="G222" s="912">
        <f t="shared" si="21"/>
        <v>1536.7999999999947</v>
      </c>
      <c r="H222" s="914">
        <f t="shared" si="18"/>
        <v>2172.6000000000026</v>
      </c>
      <c r="I222" s="915"/>
      <c r="J222" s="915"/>
      <c r="K222" s="916"/>
    </row>
    <row r="223" spans="1:11" ht="15" x14ac:dyDescent="0.25">
      <c r="A223" s="909"/>
      <c r="B223" s="910">
        <f t="shared" si="22"/>
        <v>136</v>
      </c>
      <c r="C223" s="917">
        <f t="shared" si="20"/>
        <v>1631.0999999999947</v>
      </c>
      <c r="D223" s="917">
        <f t="shared" si="20"/>
        <v>1672.2999999999947</v>
      </c>
      <c r="E223" s="917">
        <f t="shared" si="17"/>
        <v>2601.9999999999909</v>
      </c>
      <c r="F223" s="236"/>
      <c r="G223" s="912">
        <f t="shared" si="21"/>
        <v>1547.0999999999947</v>
      </c>
      <c r="H223" s="914">
        <f t="shared" si="18"/>
        <v>2187.8000000000025</v>
      </c>
      <c r="I223" s="915"/>
      <c r="J223" s="915"/>
      <c r="K223" s="916"/>
    </row>
    <row r="224" spans="1:11" ht="15" x14ac:dyDescent="0.25">
      <c r="A224" s="909"/>
      <c r="B224" s="910">
        <f t="shared" si="22"/>
        <v>137</v>
      </c>
      <c r="C224" s="917">
        <f t="shared" si="20"/>
        <v>1641.3999999999946</v>
      </c>
      <c r="D224" s="917">
        <f t="shared" si="20"/>
        <v>1682.5999999999947</v>
      </c>
      <c r="E224" s="917">
        <f t="shared" si="17"/>
        <v>2618.5999999999908</v>
      </c>
      <c r="F224" s="236"/>
      <c r="G224" s="912">
        <f t="shared" si="21"/>
        <v>1557.3999999999946</v>
      </c>
      <c r="H224" s="914">
        <f t="shared" si="18"/>
        <v>2203.0000000000023</v>
      </c>
      <c r="I224" s="915"/>
      <c r="J224" s="915"/>
      <c r="K224" s="916"/>
    </row>
    <row r="225" spans="1:11" ht="15" x14ac:dyDescent="0.25">
      <c r="A225" s="909"/>
      <c r="B225" s="910">
        <f t="shared" si="22"/>
        <v>138</v>
      </c>
      <c r="C225" s="917">
        <f t="shared" si="20"/>
        <v>1651.6999999999946</v>
      </c>
      <c r="D225" s="917">
        <f t="shared" si="20"/>
        <v>1692.8999999999946</v>
      </c>
      <c r="E225" s="917">
        <f t="shared" si="17"/>
        <v>2635.1999999999907</v>
      </c>
      <c r="F225" s="236"/>
      <c r="G225" s="912">
        <f t="shared" si="21"/>
        <v>1567.6999999999946</v>
      </c>
      <c r="H225" s="914">
        <f t="shared" si="18"/>
        <v>2218.2000000000021</v>
      </c>
      <c r="I225" s="915"/>
      <c r="J225" s="915"/>
      <c r="K225" s="916"/>
    </row>
    <row r="226" spans="1:11" ht="15" x14ac:dyDescent="0.25">
      <c r="A226" s="909"/>
      <c r="B226" s="910">
        <f t="shared" si="22"/>
        <v>139</v>
      </c>
      <c r="C226" s="917">
        <f t="shared" si="20"/>
        <v>1661.9999999999945</v>
      </c>
      <c r="D226" s="917">
        <f t="shared" si="20"/>
        <v>1703.1999999999946</v>
      </c>
      <c r="E226" s="917">
        <f t="shared" si="17"/>
        <v>2651.7999999999906</v>
      </c>
      <c r="F226" s="236"/>
      <c r="G226" s="912">
        <f t="shared" si="21"/>
        <v>1577.9999999999945</v>
      </c>
      <c r="H226" s="914">
        <f t="shared" si="18"/>
        <v>2233.4000000000019</v>
      </c>
      <c r="I226" s="915"/>
      <c r="J226" s="915"/>
      <c r="K226" s="916"/>
    </row>
    <row r="227" spans="1:11" ht="15" x14ac:dyDescent="0.25">
      <c r="A227" s="909"/>
      <c r="B227" s="910">
        <f t="shared" si="22"/>
        <v>140</v>
      </c>
      <c r="C227" s="917">
        <f t="shared" si="20"/>
        <v>1672.2999999999945</v>
      </c>
      <c r="D227" s="917">
        <f t="shared" si="20"/>
        <v>1713.4999999999945</v>
      </c>
      <c r="E227" s="917">
        <f t="shared" si="17"/>
        <v>2668.3999999999905</v>
      </c>
      <c r="F227" s="236"/>
      <c r="G227" s="912">
        <f t="shared" si="21"/>
        <v>1588.2999999999945</v>
      </c>
      <c r="H227" s="914">
        <f t="shared" si="18"/>
        <v>2248.6000000000017</v>
      </c>
      <c r="I227" s="915"/>
      <c r="J227" s="915"/>
      <c r="K227" s="916"/>
    </row>
    <row r="228" spans="1:11" ht="15" x14ac:dyDescent="0.25">
      <c r="A228" s="909"/>
      <c r="B228" s="910">
        <f t="shared" si="22"/>
        <v>141</v>
      </c>
      <c r="C228" s="917">
        <f t="shared" si="20"/>
        <v>1682.5999999999945</v>
      </c>
      <c r="D228" s="917">
        <f t="shared" si="20"/>
        <v>1723.7999999999945</v>
      </c>
      <c r="E228" s="917">
        <f t="shared" si="17"/>
        <v>2684.9999999999905</v>
      </c>
      <c r="F228" s="236"/>
      <c r="G228" s="912">
        <f t="shared" si="21"/>
        <v>1598.5999999999945</v>
      </c>
      <c r="H228" s="914">
        <f t="shared" si="18"/>
        <v>2263.8000000000015</v>
      </c>
      <c r="I228" s="915"/>
      <c r="J228" s="915"/>
      <c r="K228" s="916"/>
    </row>
    <row r="229" spans="1:11" ht="15" x14ac:dyDescent="0.25">
      <c r="A229" s="909"/>
      <c r="B229" s="910">
        <f t="shared" si="22"/>
        <v>142</v>
      </c>
      <c r="C229" s="917">
        <f t="shared" si="20"/>
        <v>1692.8999999999944</v>
      </c>
      <c r="D229" s="917">
        <f t="shared" si="20"/>
        <v>1734.0999999999945</v>
      </c>
      <c r="E229" s="917">
        <f t="shared" si="17"/>
        <v>2701.5999999999904</v>
      </c>
      <c r="F229" s="236"/>
      <c r="G229" s="912">
        <f t="shared" si="21"/>
        <v>1608.8999999999944</v>
      </c>
      <c r="H229" s="914">
        <f t="shared" si="18"/>
        <v>2279.0000000000014</v>
      </c>
      <c r="I229" s="915"/>
      <c r="J229" s="915"/>
      <c r="K229" s="916"/>
    </row>
    <row r="230" spans="1:11" ht="15" x14ac:dyDescent="0.25">
      <c r="A230" s="909"/>
      <c r="B230" s="910">
        <f t="shared" si="22"/>
        <v>143</v>
      </c>
      <c r="C230" s="917">
        <f t="shared" si="20"/>
        <v>1703.1999999999944</v>
      </c>
      <c r="D230" s="917">
        <f t="shared" si="20"/>
        <v>1744.3999999999944</v>
      </c>
      <c r="E230" s="917">
        <f t="shared" si="17"/>
        <v>2718.1999999999903</v>
      </c>
      <c r="F230" s="236"/>
      <c r="G230" s="912">
        <f t="shared" si="21"/>
        <v>1619.1999999999944</v>
      </c>
      <c r="H230" s="914">
        <f t="shared" si="18"/>
        <v>2294.2000000000012</v>
      </c>
      <c r="I230" s="915"/>
      <c r="J230" s="915"/>
      <c r="K230" s="916"/>
    </row>
    <row r="231" spans="1:11" ht="15" x14ac:dyDescent="0.25">
      <c r="A231" s="909"/>
      <c r="B231" s="910">
        <f t="shared" si="22"/>
        <v>144</v>
      </c>
      <c r="C231" s="917">
        <f t="shared" ref="C231:D246" si="23">C230+$A$118</f>
        <v>1713.4999999999943</v>
      </c>
      <c r="D231" s="917">
        <f t="shared" si="23"/>
        <v>1754.6999999999944</v>
      </c>
      <c r="E231" s="917">
        <f t="shared" si="17"/>
        <v>2734.7999999999902</v>
      </c>
      <c r="F231" s="236"/>
      <c r="G231" s="912">
        <f t="shared" si="21"/>
        <v>1629.4999999999943</v>
      </c>
      <c r="H231" s="914">
        <f t="shared" si="18"/>
        <v>2309.400000000001</v>
      </c>
      <c r="I231" s="915"/>
      <c r="J231" s="915"/>
      <c r="K231" s="916"/>
    </row>
    <row r="232" spans="1:11" ht="15" x14ac:dyDescent="0.25">
      <c r="A232" s="909"/>
      <c r="B232" s="910">
        <f t="shared" si="22"/>
        <v>145</v>
      </c>
      <c r="C232" s="917">
        <f t="shared" si="23"/>
        <v>1723.7999999999943</v>
      </c>
      <c r="D232" s="917">
        <f t="shared" si="23"/>
        <v>1764.9999999999943</v>
      </c>
      <c r="E232" s="917">
        <f t="shared" si="17"/>
        <v>2751.3999999999901</v>
      </c>
      <c r="F232" s="236"/>
      <c r="G232" s="912">
        <f t="shared" si="21"/>
        <v>1639.7999999999943</v>
      </c>
      <c r="H232" s="914">
        <f t="shared" si="18"/>
        <v>2324.6000000000008</v>
      </c>
      <c r="I232" s="915"/>
      <c r="J232" s="915"/>
      <c r="K232" s="916"/>
    </row>
    <row r="233" spans="1:11" ht="15" x14ac:dyDescent="0.25">
      <c r="A233" s="909"/>
      <c r="B233" s="910">
        <f t="shared" si="22"/>
        <v>146</v>
      </c>
      <c r="C233" s="917">
        <f t="shared" si="23"/>
        <v>1734.0999999999942</v>
      </c>
      <c r="D233" s="917">
        <f t="shared" si="23"/>
        <v>1775.2999999999943</v>
      </c>
      <c r="E233" s="917">
        <f t="shared" si="17"/>
        <v>2767.99999999999</v>
      </c>
      <c r="F233" s="236"/>
      <c r="G233" s="912">
        <f t="shared" si="21"/>
        <v>1650.0999999999942</v>
      </c>
      <c r="H233" s="914">
        <f t="shared" si="18"/>
        <v>2339.8000000000006</v>
      </c>
      <c r="I233" s="915"/>
      <c r="J233" s="915"/>
      <c r="K233" s="916"/>
    </row>
    <row r="234" spans="1:11" ht="15" x14ac:dyDescent="0.25">
      <c r="A234" s="909"/>
      <c r="B234" s="910">
        <f t="shared" si="22"/>
        <v>147</v>
      </c>
      <c r="C234" s="917">
        <f t="shared" si="23"/>
        <v>1744.3999999999942</v>
      </c>
      <c r="D234" s="917">
        <f t="shared" si="23"/>
        <v>1785.5999999999942</v>
      </c>
      <c r="E234" s="917">
        <f t="shared" si="17"/>
        <v>2784.5999999999899</v>
      </c>
      <c r="F234" s="236"/>
      <c r="G234" s="912">
        <f t="shared" si="21"/>
        <v>1660.3999999999942</v>
      </c>
      <c r="H234" s="914">
        <f t="shared" si="18"/>
        <v>2355.0000000000005</v>
      </c>
      <c r="I234" s="915"/>
      <c r="J234" s="915"/>
      <c r="K234" s="916"/>
    </row>
    <row r="235" spans="1:11" ht="15" x14ac:dyDescent="0.25">
      <c r="A235" s="909"/>
      <c r="B235" s="910">
        <f t="shared" si="22"/>
        <v>148</v>
      </c>
      <c r="C235" s="917">
        <f t="shared" si="23"/>
        <v>1754.6999999999941</v>
      </c>
      <c r="D235" s="917">
        <f t="shared" si="23"/>
        <v>1795.8999999999942</v>
      </c>
      <c r="E235" s="917">
        <f t="shared" si="17"/>
        <v>2801.1999999999898</v>
      </c>
      <c r="F235" s="236"/>
      <c r="G235" s="912">
        <f t="shared" si="21"/>
        <v>1670.6999999999941</v>
      </c>
      <c r="H235" s="914">
        <f t="shared" si="18"/>
        <v>2370.2000000000003</v>
      </c>
      <c r="I235" s="915"/>
      <c r="J235" s="915"/>
      <c r="K235" s="916"/>
    </row>
    <row r="236" spans="1:11" ht="15" x14ac:dyDescent="0.25">
      <c r="A236" s="909"/>
      <c r="B236" s="910">
        <f t="shared" si="22"/>
        <v>149</v>
      </c>
      <c r="C236" s="917">
        <f t="shared" si="23"/>
        <v>1764.9999999999941</v>
      </c>
      <c r="D236" s="917">
        <f t="shared" si="23"/>
        <v>1806.1999999999941</v>
      </c>
      <c r="E236" s="917">
        <f t="shared" si="17"/>
        <v>2817.7999999999897</v>
      </c>
      <c r="F236" s="236"/>
      <c r="G236" s="912">
        <f t="shared" si="21"/>
        <v>1680.9999999999941</v>
      </c>
      <c r="H236" s="914">
        <f t="shared" si="18"/>
        <v>2385.4</v>
      </c>
      <c r="I236" s="915"/>
      <c r="J236" s="915"/>
      <c r="K236" s="916"/>
    </row>
    <row r="237" spans="1:11" ht="15" x14ac:dyDescent="0.25">
      <c r="A237" s="909"/>
      <c r="B237" s="910">
        <f t="shared" si="22"/>
        <v>150</v>
      </c>
      <c r="C237" s="917">
        <f t="shared" si="23"/>
        <v>1775.299999999994</v>
      </c>
      <c r="D237" s="917">
        <f t="shared" si="23"/>
        <v>1816.4999999999941</v>
      </c>
      <c r="E237" s="917">
        <f t="shared" si="17"/>
        <v>2834.3999999999896</v>
      </c>
      <c r="F237" s="236"/>
      <c r="G237" s="912">
        <f t="shared" si="21"/>
        <v>1691.299999999994</v>
      </c>
      <c r="H237" s="914">
        <f t="shared" si="18"/>
        <v>2400.6</v>
      </c>
      <c r="I237" s="915"/>
      <c r="J237" s="915"/>
      <c r="K237" s="916"/>
    </row>
    <row r="238" spans="1:11" ht="15" x14ac:dyDescent="0.25">
      <c r="A238" s="909"/>
      <c r="B238" s="910">
        <f t="shared" si="22"/>
        <v>151</v>
      </c>
      <c r="C238" s="917">
        <f t="shared" si="23"/>
        <v>1785.599999999994</v>
      </c>
      <c r="D238" s="917">
        <f t="shared" si="23"/>
        <v>1826.799999999994</v>
      </c>
      <c r="E238" s="917">
        <f t="shared" si="17"/>
        <v>2850.9999999999895</v>
      </c>
      <c r="F238" s="236"/>
      <c r="G238" s="912">
        <f t="shared" si="21"/>
        <v>1701.599999999994</v>
      </c>
      <c r="H238" s="914">
        <f t="shared" si="18"/>
        <v>2415.7999999999997</v>
      </c>
      <c r="I238" s="915"/>
      <c r="J238" s="915"/>
      <c r="K238" s="916"/>
    </row>
    <row r="239" spans="1:11" ht="15" x14ac:dyDescent="0.25">
      <c r="A239" s="909"/>
      <c r="B239" s="910">
        <f t="shared" si="22"/>
        <v>152</v>
      </c>
      <c r="C239" s="917">
        <f t="shared" si="23"/>
        <v>1795.899999999994</v>
      </c>
      <c r="D239" s="917">
        <f t="shared" si="23"/>
        <v>1837.099999999994</v>
      </c>
      <c r="E239" s="917">
        <f t="shared" si="17"/>
        <v>2867.5999999999894</v>
      </c>
      <c r="F239" s="236"/>
      <c r="G239" s="912">
        <f t="shared" si="21"/>
        <v>1711.899999999994</v>
      </c>
      <c r="H239" s="914">
        <f t="shared" si="18"/>
        <v>2430.9999999999995</v>
      </c>
      <c r="I239" s="915"/>
      <c r="J239" s="915"/>
      <c r="K239" s="916"/>
    </row>
    <row r="240" spans="1:11" ht="15" x14ac:dyDescent="0.25">
      <c r="A240" s="909"/>
      <c r="B240" s="910">
        <f t="shared" si="22"/>
        <v>153</v>
      </c>
      <c r="C240" s="917">
        <f t="shared" si="23"/>
        <v>1806.1999999999939</v>
      </c>
      <c r="D240" s="917">
        <f t="shared" si="23"/>
        <v>1847.399999999994</v>
      </c>
      <c r="E240" s="917">
        <f t="shared" si="17"/>
        <v>2884.1999999999894</v>
      </c>
      <c r="F240" s="236"/>
      <c r="G240" s="912">
        <f t="shared" si="21"/>
        <v>1722.1999999999939</v>
      </c>
      <c r="H240" s="914">
        <f t="shared" si="18"/>
        <v>2446.1999999999994</v>
      </c>
      <c r="I240" s="915"/>
      <c r="J240" s="915"/>
      <c r="K240" s="916"/>
    </row>
    <row r="241" spans="1:11" ht="15" x14ac:dyDescent="0.25">
      <c r="A241" s="909"/>
      <c r="B241" s="910">
        <f t="shared" si="22"/>
        <v>154</v>
      </c>
      <c r="C241" s="917">
        <f t="shared" si="23"/>
        <v>1816.4999999999939</v>
      </c>
      <c r="D241" s="917">
        <f t="shared" si="23"/>
        <v>1857.6999999999939</v>
      </c>
      <c r="E241" s="917">
        <f t="shared" si="17"/>
        <v>2900.7999999999893</v>
      </c>
      <c r="F241" s="236"/>
      <c r="G241" s="912">
        <f t="shared" si="21"/>
        <v>1732.4999999999939</v>
      </c>
      <c r="H241" s="914">
        <f t="shared" si="18"/>
        <v>2461.3999999999992</v>
      </c>
      <c r="I241" s="915"/>
      <c r="J241" s="915"/>
      <c r="K241" s="916"/>
    </row>
    <row r="242" spans="1:11" ht="15" x14ac:dyDescent="0.25">
      <c r="A242" s="909"/>
      <c r="B242" s="910">
        <f t="shared" si="22"/>
        <v>155</v>
      </c>
      <c r="C242" s="917">
        <f t="shared" si="23"/>
        <v>1826.7999999999938</v>
      </c>
      <c r="D242" s="917">
        <f t="shared" si="23"/>
        <v>1867.9999999999939</v>
      </c>
      <c r="E242" s="917">
        <f t="shared" si="17"/>
        <v>2917.3999999999892</v>
      </c>
      <c r="F242" s="236"/>
      <c r="G242" s="912">
        <f t="shared" si="21"/>
        <v>1742.7999999999938</v>
      </c>
      <c r="H242" s="914">
        <f t="shared" si="18"/>
        <v>2476.599999999999</v>
      </c>
      <c r="I242" s="915"/>
      <c r="J242" s="915"/>
      <c r="K242" s="916"/>
    </row>
    <row r="243" spans="1:11" ht="15" x14ac:dyDescent="0.25">
      <c r="A243" s="909"/>
      <c r="B243" s="910">
        <f t="shared" si="22"/>
        <v>156</v>
      </c>
      <c r="C243" s="917">
        <f t="shared" si="23"/>
        <v>1837.0999999999938</v>
      </c>
      <c r="D243" s="917">
        <f t="shared" si="23"/>
        <v>1878.2999999999938</v>
      </c>
      <c r="E243" s="917">
        <f t="shared" si="17"/>
        <v>2933.9999999999891</v>
      </c>
      <c r="F243" s="236"/>
      <c r="G243" s="912">
        <f t="shared" si="21"/>
        <v>1753.0999999999938</v>
      </c>
      <c r="H243" s="914">
        <f t="shared" si="18"/>
        <v>2491.7999999999988</v>
      </c>
      <c r="I243" s="915"/>
      <c r="J243" s="915"/>
      <c r="K243" s="916"/>
    </row>
    <row r="244" spans="1:11" ht="15" x14ac:dyDescent="0.25">
      <c r="A244" s="909"/>
      <c r="B244" s="910">
        <f t="shared" si="22"/>
        <v>157</v>
      </c>
      <c r="C244" s="917">
        <f t="shared" si="23"/>
        <v>1847.3999999999937</v>
      </c>
      <c r="D244" s="917">
        <f t="shared" si="23"/>
        <v>1888.5999999999938</v>
      </c>
      <c r="E244" s="917">
        <f t="shared" si="17"/>
        <v>2950.599999999989</v>
      </c>
      <c r="F244" s="236"/>
      <c r="G244" s="912">
        <f t="shared" si="21"/>
        <v>1763.3999999999937</v>
      </c>
      <c r="H244" s="914">
        <f t="shared" si="18"/>
        <v>2506.9999999999986</v>
      </c>
      <c r="I244" s="915"/>
      <c r="J244" s="915"/>
      <c r="K244" s="916"/>
    </row>
    <row r="245" spans="1:11" ht="15" x14ac:dyDescent="0.25">
      <c r="A245" s="909"/>
      <c r="B245" s="910">
        <f t="shared" si="22"/>
        <v>158</v>
      </c>
      <c r="C245" s="917">
        <f t="shared" si="23"/>
        <v>1857.6999999999937</v>
      </c>
      <c r="D245" s="917">
        <f t="shared" si="23"/>
        <v>1898.8999999999937</v>
      </c>
      <c r="E245" s="917">
        <f t="shared" si="17"/>
        <v>2967.1999999999889</v>
      </c>
      <c r="F245" s="236"/>
      <c r="G245" s="912">
        <f t="shared" si="21"/>
        <v>1773.6999999999937</v>
      </c>
      <c r="H245" s="914">
        <f t="shared" si="18"/>
        <v>2522.1999999999985</v>
      </c>
      <c r="I245" s="915"/>
      <c r="J245" s="915"/>
      <c r="K245" s="916"/>
    </row>
    <row r="246" spans="1:11" ht="15" x14ac:dyDescent="0.25">
      <c r="A246" s="909"/>
      <c r="B246" s="910">
        <f t="shared" si="22"/>
        <v>159</v>
      </c>
      <c r="C246" s="917">
        <f t="shared" si="23"/>
        <v>1867.9999999999936</v>
      </c>
      <c r="D246" s="917">
        <f t="shared" si="23"/>
        <v>1909.1999999999937</v>
      </c>
      <c r="E246" s="917">
        <f t="shared" si="17"/>
        <v>2983.7999999999888</v>
      </c>
      <c r="F246" s="236"/>
      <c r="G246" s="912">
        <f t="shared" si="21"/>
        <v>1783.9999999999936</v>
      </c>
      <c r="H246" s="914">
        <f t="shared" si="18"/>
        <v>2537.3999999999983</v>
      </c>
      <c r="I246" s="915"/>
      <c r="J246" s="915"/>
      <c r="K246" s="916"/>
    </row>
    <row r="247" spans="1:11" ht="15" x14ac:dyDescent="0.25">
      <c r="A247" s="909"/>
      <c r="B247" s="910">
        <f t="shared" si="22"/>
        <v>160</v>
      </c>
      <c r="C247" s="917">
        <f t="shared" ref="C247:D262" si="24">C246+$A$118</f>
        <v>1878.2999999999936</v>
      </c>
      <c r="D247" s="917">
        <f t="shared" si="24"/>
        <v>1919.4999999999936</v>
      </c>
      <c r="E247" s="917">
        <f t="shared" ref="E247:E310" si="25">E246+$F$118</f>
        <v>3000.3999999999887</v>
      </c>
      <c r="F247" s="236"/>
      <c r="G247" s="912">
        <f t="shared" si="21"/>
        <v>1794.2999999999936</v>
      </c>
      <c r="H247" s="914">
        <f t="shared" ref="H247:H310" si="26">H246+$I$118</f>
        <v>2552.5999999999981</v>
      </c>
      <c r="I247" s="915"/>
      <c r="J247" s="915"/>
      <c r="K247" s="916"/>
    </row>
    <row r="248" spans="1:11" ht="15" x14ac:dyDescent="0.25">
      <c r="A248" s="909"/>
      <c r="B248" s="910">
        <f t="shared" si="22"/>
        <v>161</v>
      </c>
      <c r="C248" s="917">
        <f t="shared" si="24"/>
        <v>1888.5999999999935</v>
      </c>
      <c r="D248" s="917">
        <f t="shared" si="24"/>
        <v>1929.7999999999936</v>
      </c>
      <c r="E248" s="917">
        <f t="shared" si="25"/>
        <v>3016.9999999999886</v>
      </c>
      <c r="F248" s="236"/>
      <c r="G248" s="912">
        <f t="shared" si="21"/>
        <v>1804.5999999999935</v>
      </c>
      <c r="H248" s="914">
        <f t="shared" si="26"/>
        <v>2567.7999999999979</v>
      </c>
      <c r="I248" s="915"/>
      <c r="J248" s="915"/>
      <c r="K248" s="916"/>
    </row>
    <row r="249" spans="1:11" ht="15" x14ac:dyDescent="0.25">
      <c r="A249" s="909"/>
      <c r="B249" s="910">
        <f t="shared" si="22"/>
        <v>162</v>
      </c>
      <c r="C249" s="917">
        <f t="shared" si="24"/>
        <v>1898.8999999999935</v>
      </c>
      <c r="D249" s="917">
        <f t="shared" si="24"/>
        <v>1940.0999999999935</v>
      </c>
      <c r="E249" s="917">
        <f t="shared" si="25"/>
        <v>3033.5999999999885</v>
      </c>
      <c r="F249" s="236"/>
      <c r="G249" s="912">
        <f t="shared" si="21"/>
        <v>1814.8999999999935</v>
      </c>
      <c r="H249" s="914">
        <f t="shared" si="26"/>
        <v>2582.9999999999977</v>
      </c>
      <c r="I249" s="915"/>
      <c r="J249" s="915"/>
      <c r="K249" s="916"/>
    </row>
    <row r="250" spans="1:11" ht="15" x14ac:dyDescent="0.25">
      <c r="A250" s="909"/>
      <c r="B250" s="910">
        <f t="shared" si="22"/>
        <v>163</v>
      </c>
      <c r="C250" s="917">
        <f t="shared" si="24"/>
        <v>1909.1999999999935</v>
      </c>
      <c r="D250" s="917">
        <f t="shared" si="24"/>
        <v>1950.3999999999935</v>
      </c>
      <c r="E250" s="917">
        <f t="shared" si="25"/>
        <v>3050.1999999999884</v>
      </c>
      <c r="F250" s="236"/>
      <c r="G250" s="912">
        <f t="shared" si="21"/>
        <v>1825.1999999999935</v>
      </c>
      <c r="H250" s="914">
        <f t="shared" si="26"/>
        <v>2598.1999999999975</v>
      </c>
      <c r="I250" s="915"/>
      <c r="J250" s="915"/>
      <c r="K250" s="916"/>
    </row>
    <row r="251" spans="1:11" ht="15" x14ac:dyDescent="0.25">
      <c r="A251" s="909"/>
      <c r="B251" s="910">
        <f t="shared" si="22"/>
        <v>164</v>
      </c>
      <c r="C251" s="917">
        <f t="shared" si="24"/>
        <v>1919.4999999999934</v>
      </c>
      <c r="D251" s="917">
        <f t="shared" si="24"/>
        <v>1960.6999999999935</v>
      </c>
      <c r="E251" s="917">
        <f t="shared" si="25"/>
        <v>3066.7999999999884</v>
      </c>
      <c r="F251" s="236"/>
      <c r="G251" s="912">
        <f t="shared" si="21"/>
        <v>1835.4999999999934</v>
      </c>
      <c r="H251" s="914">
        <f t="shared" si="26"/>
        <v>2613.3999999999974</v>
      </c>
      <c r="I251" s="915"/>
      <c r="J251" s="915"/>
      <c r="K251" s="916"/>
    </row>
    <row r="252" spans="1:11" ht="15" x14ac:dyDescent="0.25">
      <c r="A252" s="909"/>
      <c r="B252" s="910">
        <f t="shared" si="22"/>
        <v>165</v>
      </c>
      <c r="C252" s="917">
        <f t="shared" si="24"/>
        <v>1929.7999999999934</v>
      </c>
      <c r="D252" s="917">
        <f t="shared" si="24"/>
        <v>1970.9999999999934</v>
      </c>
      <c r="E252" s="917">
        <f t="shared" si="25"/>
        <v>3083.3999999999883</v>
      </c>
      <c r="F252" s="236"/>
      <c r="G252" s="912">
        <f t="shared" si="21"/>
        <v>1845.7999999999934</v>
      </c>
      <c r="H252" s="914">
        <f t="shared" si="26"/>
        <v>2628.5999999999972</v>
      </c>
      <c r="I252" s="915"/>
      <c r="J252" s="915"/>
      <c r="K252" s="916"/>
    </row>
    <row r="253" spans="1:11" ht="15" x14ac:dyDescent="0.25">
      <c r="A253" s="909"/>
      <c r="B253" s="910">
        <f t="shared" si="22"/>
        <v>166</v>
      </c>
      <c r="C253" s="917">
        <f t="shared" si="24"/>
        <v>1940.0999999999933</v>
      </c>
      <c r="D253" s="917">
        <f t="shared" si="24"/>
        <v>1981.2999999999934</v>
      </c>
      <c r="E253" s="917">
        <f t="shared" si="25"/>
        <v>3099.9999999999882</v>
      </c>
      <c r="F253" s="236"/>
      <c r="G253" s="912">
        <f t="shared" si="21"/>
        <v>1856.0999999999933</v>
      </c>
      <c r="H253" s="914">
        <f t="shared" si="26"/>
        <v>2643.799999999997</v>
      </c>
      <c r="I253" s="915"/>
      <c r="J253" s="915"/>
      <c r="K253" s="916"/>
    </row>
    <row r="254" spans="1:11" ht="15" x14ac:dyDescent="0.25">
      <c r="A254" s="909"/>
      <c r="B254" s="910">
        <f t="shared" si="22"/>
        <v>167</v>
      </c>
      <c r="C254" s="917">
        <f t="shared" si="24"/>
        <v>1950.3999999999933</v>
      </c>
      <c r="D254" s="917">
        <f t="shared" si="24"/>
        <v>1991.5999999999933</v>
      </c>
      <c r="E254" s="917">
        <f t="shared" si="25"/>
        <v>3116.5999999999881</v>
      </c>
      <c r="F254" s="236"/>
      <c r="G254" s="912">
        <f t="shared" si="21"/>
        <v>1866.3999999999933</v>
      </c>
      <c r="H254" s="914">
        <f t="shared" si="26"/>
        <v>2658.9999999999968</v>
      </c>
      <c r="I254" s="915"/>
      <c r="J254" s="915"/>
      <c r="K254" s="916"/>
    </row>
    <row r="255" spans="1:11" ht="15" x14ac:dyDescent="0.25">
      <c r="A255" s="909"/>
      <c r="B255" s="910">
        <f t="shared" si="22"/>
        <v>168</v>
      </c>
      <c r="C255" s="917">
        <f t="shared" si="24"/>
        <v>1960.6999999999932</v>
      </c>
      <c r="D255" s="917">
        <f t="shared" si="24"/>
        <v>2001.8999999999933</v>
      </c>
      <c r="E255" s="917">
        <f t="shared" si="25"/>
        <v>3133.199999999988</v>
      </c>
      <c r="F255" s="236"/>
      <c r="G255" s="912">
        <f t="shared" si="21"/>
        <v>1876.6999999999932</v>
      </c>
      <c r="H255" s="914">
        <f t="shared" si="26"/>
        <v>2674.1999999999966</v>
      </c>
      <c r="I255" s="915"/>
      <c r="J255" s="915"/>
      <c r="K255" s="916"/>
    </row>
    <row r="256" spans="1:11" ht="15" x14ac:dyDescent="0.25">
      <c r="A256" s="909"/>
      <c r="B256" s="910">
        <f t="shared" si="22"/>
        <v>169</v>
      </c>
      <c r="C256" s="917">
        <f t="shared" si="24"/>
        <v>1970.9999999999932</v>
      </c>
      <c r="D256" s="917">
        <f t="shared" si="24"/>
        <v>2012.1999999999932</v>
      </c>
      <c r="E256" s="917">
        <f t="shared" si="25"/>
        <v>3149.7999999999879</v>
      </c>
      <c r="F256" s="236"/>
      <c r="G256" s="912">
        <f t="shared" si="21"/>
        <v>1886.9999999999932</v>
      </c>
      <c r="H256" s="914">
        <f t="shared" si="26"/>
        <v>2689.3999999999965</v>
      </c>
      <c r="I256" s="915"/>
      <c r="J256" s="915"/>
      <c r="K256" s="916"/>
    </row>
    <row r="257" spans="1:11" ht="15" x14ac:dyDescent="0.25">
      <c r="A257" s="909"/>
      <c r="B257" s="910">
        <f t="shared" si="22"/>
        <v>170</v>
      </c>
      <c r="C257" s="917">
        <f t="shared" si="24"/>
        <v>1981.2999999999931</v>
      </c>
      <c r="D257" s="917">
        <f t="shared" si="24"/>
        <v>2022.4999999999932</v>
      </c>
      <c r="E257" s="917">
        <f t="shared" si="25"/>
        <v>3166.3999999999878</v>
      </c>
      <c r="F257" s="236"/>
      <c r="G257" s="912">
        <f t="shared" si="21"/>
        <v>1897.2999999999931</v>
      </c>
      <c r="H257" s="914">
        <f t="shared" si="26"/>
        <v>2704.5999999999963</v>
      </c>
      <c r="I257" s="915"/>
      <c r="J257" s="915"/>
      <c r="K257" s="916"/>
    </row>
    <row r="258" spans="1:11" ht="15" x14ac:dyDescent="0.25">
      <c r="A258" s="909"/>
      <c r="B258" s="910">
        <f t="shared" si="22"/>
        <v>171</v>
      </c>
      <c r="C258" s="917">
        <f t="shared" si="24"/>
        <v>1991.5999999999931</v>
      </c>
      <c r="D258" s="917">
        <f t="shared" si="24"/>
        <v>2032.7999999999931</v>
      </c>
      <c r="E258" s="917">
        <f t="shared" si="25"/>
        <v>3182.9999999999877</v>
      </c>
      <c r="F258" s="236"/>
      <c r="G258" s="912">
        <f t="shared" si="21"/>
        <v>1907.5999999999931</v>
      </c>
      <c r="H258" s="914">
        <f t="shared" si="26"/>
        <v>2719.7999999999961</v>
      </c>
      <c r="I258" s="915"/>
      <c r="J258" s="915"/>
      <c r="K258" s="916"/>
    </row>
    <row r="259" spans="1:11" ht="15" x14ac:dyDescent="0.25">
      <c r="A259" s="909"/>
      <c r="B259" s="910">
        <f t="shared" si="22"/>
        <v>172</v>
      </c>
      <c r="C259" s="917">
        <f t="shared" si="24"/>
        <v>2001.899999999993</v>
      </c>
      <c r="D259" s="917">
        <f t="shared" si="24"/>
        <v>2043.0999999999931</v>
      </c>
      <c r="E259" s="917">
        <f t="shared" si="25"/>
        <v>3199.5999999999876</v>
      </c>
      <c r="F259" s="236"/>
      <c r="G259" s="912">
        <f t="shared" si="21"/>
        <v>1917.899999999993</v>
      </c>
      <c r="H259" s="914">
        <f t="shared" si="26"/>
        <v>2734.9999999999959</v>
      </c>
      <c r="I259" s="915"/>
      <c r="J259" s="915"/>
      <c r="K259" s="916"/>
    </row>
    <row r="260" spans="1:11" ht="15" x14ac:dyDescent="0.25">
      <c r="A260" s="909"/>
      <c r="B260" s="910">
        <f t="shared" si="22"/>
        <v>173</v>
      </c>
      <c r="C260" s="917">
        <f t="shared" si="24"/>
        <v>2012.199999999993</v>
      </c>
      <c r="D260" s="917">
        <f t="shared" si="24"/>
        <v>2053.3999999999933</v>
      </c>
      <c r="E260" s="917">
        <f t="shared" si="25"/>
        <v>3216.1999999999875</v>
      </c>
      <c r="F260" s="236"/>
      <c r="G260" s="912">
        <f t="shared" si="21"/>
        <v>1928.1999999999932</v>
      </c>
      <c r="H260" s="914">
        <f t="shared" si="26"/>
        <v>2750.1999999999957</v>
      </c>
      <c r="I260" s="915"/>
      <c r="J260" s="915"/>
      <c r="K260" s="916"/>
    </row>
    <row r="261" spans="1:11" ht="15" x14ac:dyDescent="0.25">
      <c r="A261" s="909"/>
      <c r="B261" s="910">
        <f t="shared" si="22"/>
        <v>174</v>
      </c>
      <c r="C261" s="917">
        <f t="shared" si="24"/>
        <v>2022.499999999993</v>
      </c>
      <c r="D261" s="917">
        <f t="shared" si="24"/>
        <v>2063.6999999999935</v>
      </c>
      <c r="E261" s="917">
        <f t="shared" si="25"/>
        <v>3232.7999999999874</v>
      </c>
      <c r="F261" s="236"/>
      <c r="G261" s="912">
        <f t="shared" si="21"/>
        <v>1938.4999999999934</v>
      </c>
      <c r="H261" s="914">
        <f t="shared" si="26"/>
        <v>2765.3999999999955</v>
      </c>
      <c r="I261" s="915"/>
      <c r="J261" s="915"/>
      <c r="K261" s="916"/>
    </row>
    <row r="262" spans="1:11" ht="15" x14ac:dyDescent="0.25">
      <c r="A262" s="909"/>
      <c r="B262" s="910">
        <f t="shared" si="22"/>
        <v>175</v>
      </c>
      <c r="C262" s="917">
        <f t="shared" si="24"/>
        <v>2032.7999999999929</v>
      </c>
      <c r="D262" s="917">
        <f t="shared" si="24"/>
        <v>2073.9999999999936</v>
      </c>
      <c r="E262" s="917">
        <f t="shared" si="25"/>
        <v>3249.3999999999874</v>
      </c>
      <c r="F262" s="236"/>
      <c r="G262" s="912">
        <f t="shared" si="21"/>
        <v>1948.7999999999936</v>
      </c>
      <c r="H262" s="914">
        <f t="shared" si="26"/>
        <v>2780.5999999999954</v>
      </c>
      <c r="I262" s="915"/>
      <c r="J262" s="915"/>
      <c r="K262" s="916"/>
    </row>
    <row r="263" spans="1:11" ht="15" x14ac:dyDescent="0.25">
      <c r="A263" s="909"/>
      <c r="B263" s="910">
        <f t="shared" si="22"/>
        <v>176</v>
      </c>
      <c r="C263" s="917">
        <f t="shared" ref="C263:D278" si="27">C262+$A$118</f>
        <v>2043.0999999999929</v>
      </c>
      <c r="D263" s="917">
        <f t="shared" si="27"/>
        <v>2084.2999999999938</v>
      </c>
      <c r="E263" s="917">
        <f t="shared" si="25"/>
        <v>3265.9999999999873</v>
      </c>
      <c r="F263" s="236"/>
      <c r="G263" s="912">
        <f t="shared" si="21"/>
        <v>1959.0999999999938</v>
      </c>
      <c r="H263" s="914">
        <f t="shared" si="26"/>
        <v>2795.7999999999952</v>
      </c>
      <c r="I263" s="915"/>
      <c r="J263" s="915"/>
      <c r="K263" s="916"/>
    </row>
    <row r="264" spans="1:11" ht="15" x14ac:dyDescent="0.25">
      <c r="A264" s="909"/>
      <c r="B264" s="910">
        <f t="shared" si="22"/>
        <v>177</v>
      </c>
      <c r="C264" s="917">
        <f t="shared" si="27"/>
        <v>2053.3999999999928</v>
      </c>
      <c r="D264" s="917">
        <f t="shared" si="27"/>
        <v>2094.599999999994</v>
      </c>
      <c r="E264" s="917">
        <f t="shared" si="25"/>
        <v>3282.5999999999872</v>
      </c>
      <c r="F264" s="236"/>
      <c r="G264" s="912">
        <f t="shared" si="21"/>
        <v>1969.399999999994</v>
      </c>
      <c r="H264" s="914">
        <f t="shared" si="26"/>
        <v>2810.999999999995</v>
      </c>
      <c r="I264" s="915"/>
      <c r="J264" s="915"/>
      <c r="K264" s="916"/>
    </row>
    <row r="265" spans="1:11" ht="15" x14ac:dyDescent="0.25">
      <c r="A265" s="909"/>
      <c r="B265" s="910">
        <f t="shared" si="22"/>
        <v>178</v>
      </c>
      <c r="C265" s="917">
        <f t="shared" si="27"/>
        <v>2063.699999999993</v>
      </c>
      <c r="D265" s="917">
        <f t="shared" si="27"/>
        <v>2104.8999999999942</v>
      </c>
      <c r="E265" s="917">
        <f t="shared" si="25"/>
        <v>3299.1999999999871</v>
      </c>
      <c r="F265" s="236"/>
      <c r="G265" s="912">
        <f t="shared" si="21"/>
        <v>1979.6999999999941</v>
      </c>
      <c r="H265" s="914">
        <f t="shared" si="26"/>
        <v>2826.1999999999948</v>
      </c>
      <c r="I265" s="915"/>
      <c r="J265" s="915"/>
      <c r="K265" s="916"/>
    </row>
    <row r="266" spans="1:11" ht="15" x14ac:dyDescent="0.25">
      <c r="A266" s="909"/>
      <c r="B266" s="910">
        <f t="shared" si="22"/>
        <v>179</v>
      </c>
      <c r="C266" s="917">
        <f t="shared" si="27"/>
        <v>2073.9999999999932</v>
      </c>
      <c r="D266" s="917">
        <f t="shared" si="27"/>
        <v>2115.1999999999944</v>
      </c>
      <c r="E266" s="917">
        <f t="shared" si="25"/>
        <v>3315.799999999987</v>
      </c>
      <c r="F266" s="236"/>
      <c r="G266" s="912">
        <f t="shared" si="21"/>
        <v>1989.9999999999943</v>
      </c>
      <c r="H266" s="914">
        <f t="shared" si="26"/>
        <v>2841.3999999999946</v>
      </c>
      <c r="I266" s="915"/>
      <c r="J266" s="915"/>
      <c r="K266" s="916"/>
    </row>
    <row r="267" spans="1:11" ht="15" x14ac:dyDescent="0.25">
      <c r="A267" s="909"/>
      <c r="B267" s="910">
        <f t="shared" si="22"/>
        <v>180</v>
      </c>
      <c r="C267" s="917">
        <f t="shared" si="27"/>
        <v>2084.2999999999934</v>
      </c>
      <c r="D267" s="917">
        <f t="shared" si="27"/>
        <v>2125.4999999999945</v>
      </c>
      <c r="E267" s="917">
        <f t="shared" si="25"/>
        <v>3332.3999999999869</v>
      </c>
      <c r="F267" s="236"/>
      <c r="G267" s="912">
        <f t="shared" si="21"/>
        <v>2000.2999999999945</v>
      </c>
      <c r="H267" s="914">
        <f t="shared" si="26"/>
        <v>2856.5999999999945</v>
      </c>
      <c r="I267" s="915"/>
      <c r="J267" s="915"/>
      <c r="K267" s="916"/>
    </row>
    <row r="268" spans="1:11" ht="15" x14ac:dyDescent="0.25">
      <c r="A268" s="909"/>
      <c r="B268" s="910">
        <f t="shared" si="22"/>
        <v>181</v>
      </c>
      <c r="C268" s="917">
        <f t="shared" si="27"/>
        <v>2094.5999999999935</v>
      </c>
      <c r="D268" s="917">
        <f t="shared" si="27"/>
        <v>2135.7999999999947</v>
      </c>
      <c r="E268" s="917">
        <f t="shared" si="25"/>
        <v>3348.9999999999868</v>
      </c>
      <c r="F268" s="236"/>
      <c r="G268" s="912">
        <f t="shared" si="21"/>
        <v>2010.5999999999947</v>
      </c>
      <c r="H268" s="914">
        <f t="shared" si="26"/>
        <v>2871.7999999999943</v>
      </c>
      <c r="I268" s="915"/>
      <c r="J268" s="915"/>
      <c r="K268" s="916"/>
    </row>
    <row r="269" spans="1:11" ht="15" x14ac:dyDescent="0.25">
      <c r="A269" s="909"/>
      <c r="B269" s="910">
        <f t="shared" si="22"/>
        <v>182</v>
      </c>
      <c r="C269" s="917">
        <f t="shared" si="27"/>
        <v>2104.8999999999937</v>
      </c>
      <c r="D269" s="917">
        <f t="shared" si="27"/>
        <v>2146.0999999999949</v>
      </c>
      <c r="E269" s="917">
        <f t="shared" si="25"/>
        <v>3365.5999999999867</v>
      </c>
      <c r="F269" s="236"/>
      <c r="G269" s="912">
        <f t="shared" si="21"/>
        <v>2020.8999999999949</v>
      </c>
      <c r="H269" s="914">
        <f t="shared" si="26"/>
        <v>2886.9999999999941</v>
      </c>
      <c r="I269" s="915"/>
      <c r="J269" s="915"/>
      <c r="K269" s="916"/>
    </row>
    <row r="270" spans="1:11" ht="15" x14ac:dyDescent="0.25">
      <c r="A270" s="909"/>
      <c r="B270" s="910">
        <f t="shared" si="22"/>
        <v>183</v>
      </c>
      <c r="C270" s="917">
        <f t="shared" si="27"/>
        <v>2115.1999999999939</v>
      </c>
      <c r="D270" s="917">
        <f t="shared" si="27"/>
        <v>2156.3999999999951</v>
      </c>
      <c r="E270" s="917">
        <f t="shared" si="25"/>
        <v>3382.1999999999866</v>
      </c>
      <c r="F270" s="236"/>
      <c r="G270" s="912">
        <f t="shared" si="21"/>
        <v>2031.199999999995</v>
      </c>
      <c r="H270" s="914">
        <f t="shared" si="26"/>
        <v>2902.1999999999939</v>
      </c>
      <c r="I270" s="915"/>
      <c r="J270" s="915"/>
      <c r="K270" s="916"/>
    </row>
    <row r="271" spans="1:11" ht="15" x14ac:dyDescent="0.25">
      <c r="A271" s="909"/>
      <c r="B271" s="910">
        <f t="shared" si="22"/>
        <v>184</v>
      </c>
      <c r="C271" s="917">
        <f t="shared" si="27"/>
        <v>2125.4999999999941</v>
      </c>
      <c r="D271" s="917">
        <f t="shared" si="27"/>
        <v>2166.6999999999953</v>
      </c>
      <c r="E271" s="917">
        <f t="shared" si="25"/>
        <v>3398.7999999999865</v>
      </c>
      <c r="F271" s="236"/>
      <c r="G271" s="912">
        <f t="shared" si="21"/>
        <v>2041.4999999999952</v>
      </c>
      <c r="H271" s="914">
        <f t="shared" si="26"/>
        <v>2917.3999999999937</v>
      </c>
      <c r="I271" s="915"/>
      <c r="J271" s="915"/>
      <c r="K271" s="916"/>
    </row>
    <row r="272" spans="1:11" ht="15" x14ac:dyDescent="0.25">
      <c r="A272" s="909"/>
      <c r="B272" s="910">
        <f t="shared" si="22"/>
        <v>185</v>
      </c>
      <c r="C272" s="917">
        <f t="shared" si="27"/>
        <v>2135.7999999999943</v>
      </c>
      <c r="D272" s="917">
        <f t="shared" si="27"/>
        <v>2176.9999999999955</v>
      </c>
      <c r="E272" s="917">
        <f t="shared" si="25"/>
        <v>3415.3999999999864</v>
      </c>
      <c r="F272" s="236"/>
      <c r="G272" s="912">
        <f t="shared" si="21"/>
        <v>2051.7999999999956</v>
      </c>
      <c r="H272" s="914">
        <f t="shared" si="26"/>
        <v>2932.5999999999935</v>
      </c>
      <c r="I272" s="915"/>
      <c r="J272" s="915"/>
      <c r="K272" s="916"/>
    </row>
    <row r="273" spans="1:11" ht="15" x14ac:dyDescent="0.25">
      <c r="A273" s="909"/>
      <c r="B273" s="910">
        <f t="shared" si="22"/>
        <v>186</v>
      </c>
      <c r="C273" s="917">
        <f t="shared" si="27"/>
        <v>2146.0999999999945</v>
      </c>
      <c r="D273" s="917">
        <f t="shared" si="27"/>
        <v>2187.2999999999956</v>
      </c>
      <c r="E273" s="917">
        <f t="shared" si="25"/>
        <v>3431.9999999999864</v>
      </c>
      <c r="F273" s="236"/>
      <c r="G273" s="912">
        <f t="shared" si="21"/>
        <v>2062.0999999999958</v>
      </c>
      <c r="H273" s="914">
        <f t="shared" si="26"/>
        <v>2947.7999999999934</v>
      </c>
      <c r="I273" s="915"/>
      <c r="J273" s="915"/>
      <c r="K273" s="916"/>
    </row>
    <row r="274" spans="1:11" ht="15" x14ac:dyDescent="0.25">
      <c r="A274" s="909"/>
      <c r="B274" s="910">
        <f t="shared" si="22"/>
        <v>187</v>
      </c>
      <c r="C274" s="917">
        <f t="shared" si="27"/>
        <v>2156.3999999999946</v>
      </c>
      <c r="D274" s="917">
        <f t="shared" si="27"/>
        <v>2197.5999999999958</v>
      </c>
      <c r="E274" s="917">
        <f t="shared" si="25"/>
        <v>3448.5999999999863</v>
      </c>
      <c r="F274" s="236"/>
      <c r="G274" s="912">
        <f t="shared" si="21"/>
        <v>2072.399999999996</v>
      </c>
      <c r="H274" s="914">
        <f t="shared" si="26"/>
        <v>2962.9999999999932</v>
      </c>
      <c r="I274" s="915"/>
      <c r="J274" s="915"/>
      <c r="K274" s="916"/>
    </row>
    <row r="275" spans="1:11" ht="15" x14ac:dyDescent="0.25">
      <c r="A275" s="909"/>
      <c r="B275" s="910">
        <f t="shared" si="22"/>
        <v>188</v>
      </c>
      <c r="C275" s="917">
        <f t="shared" si="27"/>
        <v>2166.6999999999948</v>
      </c>
      <c r="D275" s="917">
        <f t="shared" si="27"/>
        <v>2207.899999999996</v>
      </c>
      <c r="E275" s="917">
        <f t="shared" si="25"/>
        <v>3465.1999999999862</v>
      </c>
      <c r="F275" s="236"/>
      <c r="G275" s="912">
        <f t="shared" si="21"/>
        <v>2082.6999999999962</v>
      </c>
      <c r="H275" s="914">
        <f t="shared" si="26"/>
        <v>2978.199999999993</v>
      </c>
      <c r="I275" s="915"/>
      <c r="J275" s="915"/>
      <c r="K275" s="916"/>
    </row>
    <row r="276" spans="1:11" ht="15" x14ac:dyDescent="0.25">
      <c r="A276" s="909"/>
      <c r="B276" s="910">
        <f t="shared" si="22"/>
        <v>189</v>
      </c>
      <c r="C276" s="917">
        <f t="shared" si="27"/>
        <v>2176.999999999995</v>
      </c>
      <c r="D276" s="917">
        <f t="shared" si="27"/>
        <v>2218.1999999999962</v>
      </c>
      <c r="E276" s="917">
        <f t="shared" si="25"/>
        <v>3481.7999999999861</v>
      </c>
      <c r="F276" s="236"/>
      <c r="G276" s="912">
        <f t="shared" si="21"/>
        <v>2092.9999999999964</v>
      </c>
      <c r="H276" s="914">
        <f t="shared" si="26"/>
        <v>2993.3999999999928</v>
      </c>
      <c r="I276" s="915"/>
      <c r="J276" s="915"/>
      <c r="K276" s="916"/>
    </row>
    <row r="277" spans="1:11" ht="15" x14ac:dyDescent="0.25">
      <c r="A277" s="909"/>
      <c r="B277" s="910">
        <f t="shared" si="22"/>
        <v>190</v>
      </c>
      <c r="C277" s="917">
        <f t="shared" si="27"/>
        <v>2187.2999999999952</v>
      </c>
      <c r="D277" s="917">
        <f t="shared" si="27"/>
        <v>2228.4999999999964</v>
      </c>
      <c r="E277" s="917">
        <f t="shared" si="25"/>
        <v>3498.399999999986</v>
      </c>
      <c r="F277" s="236"/>
      <c r="G277" s="912">
        <f t="shared" si="21"/>
        <v>2103.2999999999965</v>
      </c>
      <c r="H277" s="914">
        <f t="shared" si="26"/>
        <v>3008.5999999999926</v>
      </c>
      <c r="I277" s="915"/>
      <c r="J277" s="915"/>
      <c r="K277" s="916"/>
    </row>
    <row r="278" spans="1:11" ht="15" x14ac:dyDescent="0.25">
      <c r="A278" s="909"/>
      <c r="B278" s="910">
        <f t="shared" si="22"/>
        <v>191</v>
      </c>
      <c r="C278" s="917">
        <f t="shared" si="27"/>
        <v>2197.5999999999954</v>
      </c>
      <c r="D278" s="917">
        <f t="shared" si="27"/>
        <v>2238.7999999999965</v>
      </c>
      <c r="E278" s="917">
        <f t="shared" si="25"/>
        <v>3514.9999999999859</v>
      </c>
      <c r="F278" s="236"/>
      <c r="G278" s="912">
        <f t="shared" si="21"/>
        <v>2113.5999999999967</v>
      </c>
      <c r="H278" s="914">
        <f t="shared" si="26"/>
        <v>3023.7999999999925</v>
      </c>
      <c r="I278" s="915"/>
      <c r="J278" s="915"/>
      <c r="K278" s="916"/>
    </row>
    <row r="279" spans="1:11" ht="15" x14ac:dyDescent="0.25">
      <c r="A279" s="909"/>
      <c r="B279" s="910">
        <f t="shared" si="22"/>
        <v>192</v>
      </c>
      <c r="C279" s="917">
        <f t="shared" ref="C279:D294" si="28">C278+$A$118</f>
        <v>2207.8999999999955</v>
      </c>
      <c r="D279" s="917">
        <f t="shared" si="28"/>
        <v>2249.0999999999967</v>
      </c>
      <c r="E279" s="917">
        <f t="shared" si="25"/>
        <v>3531.5999999999858</v>
      </c>
      <c r="F279" s="236"/>
      <c r="G279" s="912">
        <f t="shared" ref="G279:G319" si="29">D279-$D$82</f>
        <v>2123.8999999999969</v>
      </c>
      <c r="H279" s="914">
        <f t="shared" si="26"/>
        <v>3038.9999999999923</v>
      </c>
      <c r="I279" s="915"/>
      <c r="J279" s="915"/>
      <c r="K279" s="916"/>
    </row>
    <row r="280" spans="1:11" ht="15" x14ac:dyDescent="0.25">
      <c r="A280" s="909"/>
      <c r="B280" s="910">
        <f t="shared" si="22"/>
        <v>193</v>
      </c>
      <c r="C280" s="917">
        <f t="shared" si="28"/>
        <v>2218.1999999999957</v>
      </c>
      <c r="D280" s="917">
        <f t="shared" si="28"/>
        <v>2259.3999999999969</v>
      </c>
      <c r="E280" s="917">
        <f t="shared" si="25"/>
        <v>3548.1999999999857</v>
      </c>
      <c r="F280" s="236"/>
      <c r="G280" s="912">
        <f t="shared" si="29"/>
        <v>2134.1999999999971</v>
      </c>
      <c r="H280" s="914">
        <f t="shared" si="26"/>
        <v>3054.1999999999921</v>
      </c>
      <c r="I280" s="915"/>
      <c r="J280" s="915"/>
      <c r="K280" s="916"/>
    </row>
    <row r="281" spans="1:11" ht="15" x14ac:dyDescent="0.25">
      <c r="A281" s="909"/>
      <c r="B281" s="910">
        <f t="shared" ref="B281:B319" si="30">+B280+1</f>
        <v>194</v>
      </c>
      <c r="C281" s="917">
        <f t="shared" si="28"/>
        <v>2228.4999999999959</v>
      </c>
      <c r="D281" s="917">
        <f t="shared" si="28"/>
        <v>2269.6999999999971</v>
      </c>
      <c r="E281" s="917">
        <f t="shared" si="25"/>
        <v>3564.7999999999856</v>
      </c>
      <c r="F281" s="236"/>
      <c r="G281" s="912">
        <f t="shared" si="29"/>
        <v>2144.4999999999973</v>
      </c>
      <c r="H281" s="914">
        <f t="shared" si="26"/>
        <v>3069.3999999999919</v>
      </c>
      <c r="I281" s="915"/>
      <c r="J281" s="915"/>
      <c r="K281" s="916"/>
    </row>
    <row r="282" spans="1:11" ht="15" x14ac:dyDescent="0.25">
      <c r="A282" s="909"/>
      <c r="B282" s="910">
        <f t="shared" si="30"/>
        <v>195</v>
      </c>
      <c r="C282" s="917">
        <f t="shared" si="28"/>
        <v>2238.7999999999961</v>
      </c>
      <c r="D282" s="917">
        <f t="shared" si="28"/>
        <v>2279.9999999999973</v>
      </c>
      <c r="E282" s="917">
        <f t="shared" si="25"/>
        <v>3581.3999999999855</v>
      </c>
      <c r="F282" s="236"/>
      <c r="G282" s="912">
        <f t="shared" si="29"/>
        <v>2154.7999999999975</v>
      </c>
      <c r="H282" s="914">
        <f t="shared" si="26"/>
        <v>3084.5999999999917</v>
      </c>
      <c r="I282" s="915"/>
      <c r="J282" s="915"/>
      <c r="K282" s="916"/>
    </row>
    <row r="283" spans="1:11" ht="15" x14ac:dyDescent="0.25">
      <c r="A283" s="909"/>
      <c r="B283" s="910">
        <f t="shared" si="30"/>
        <v>196</v>
      </c>
      <c r="C283" s="917">
        <f t="shared" si="28"/>
        <v>2249.0999999999963</v>
      </c>
      <c r="D283" s="917">
        <f t="shared" si="28"/>
        <v>2290.2999999999975</v>
      </c>
      <c r="E283" s="917">
        <f t="shared" si="25"/>
        <v>3597.9999999999854</v>
      </c>
      <c r="F283" s="236"/>
      <c r="G283" s="912">
        <f t="shared" si="29"/>
        <v>2165.0999999999976</v>
      </c>
      <c r="H283" s="914">
        <f t="shared" si="26"/>
        <v>3099.7999999999915</v>
      </c>
      <c r="I283" s="915"/>
      <c r="J283" s="915"/>
      <c r="K283" s="916"/>
    </row>
    <row r="284" spans="1:11" ht="15" x14ac:dyDescent="0.25">
      <c r="A284" s="909"/>
      <c r="B284" s="910">
        <f t="shared" si="30"/>
        <v>197</v>
      </c>
      <c r="C284" s="917">
        <f t="shared" si="28"/>
        <v>2259.3999999999965</v>
      </c>
      <c r="D284" s="917">
        <f t="shared" si="28"/>
        <v>2300.5999999999976</v>
      </c>
      <c r="E284" s="917">
        <f t="shared" si="25"/>
        <v>3614.5999999999854</v>
      </c>
      <c r="F284" s="236"/>
      <c r="G284" s="912">
        <f t="shared" si="29"/>
        <v>2175.3999999999978</v>
      </c>
      <c r="H284" s="914">
        <f t="shared" si="26"/>
        <v>3114.9999999999914</v>
      </c>
      <c r="I284" s="915"/>
      <c r="J284" s="915"/>
      <c r="K284" s="916"/>
    </row>
    <row r="285" spans="1:11" ht="15" x14ac:dyDescent="0.25">
      <c r="A285" s="909"/>
      <c r="B285" s="910">
        <f t="shared" si="30"/>
        <v>198</v>
      </c>
      <c r="C285" s="917">
        <f t="shared" si="28"/>
        <v>2269.6999999999966</v>
      </c>
      <c r="D285" s="917">
        <f t="shared" si="28"/>
        <v>2310.8999999999978</v>
      </c>
      <c r="E285" s="917">
        <f t="shared" si="25"/>
        <v>3631.1999999999853</v>
      </c>
      <c r="F285" s="236"/>
      <c r="G285" s="912">
        <f t="shared" si="29"/>
        <v>2185.699999999998</v>
      </c>
      <c r="H285" s="914">
        <f t="shared" si="26"/>
        <v>3130.1999999999912</v>
      </c>
      <c r="I285" s="915"/>
      <c r="J285" s="915"/>
      <c r="K285" s="916"/>
    </row>
    <row r="286" spans="1:11" ht="15" x14ac:dyDescent="0.25">
      <c r="A286" s="909"/>
      <c r="B286" s="910">
        <f t="shared" si="30"/>
        <v>199</v>
      </c>
      <c r="C286" s="917">
        <f t="shared" si="28"/>
        <v>2279.9999999999968</v>
      </c>
      <c r="D286" s="917">
        <f t="shared" si="28"/>
        <v>2321.199999999998</v>
      </c>
      <c r="E286" s="917">
        <f t="shared" si="25"/>
        <v>3647.7999999999852</v>
      </c>
      <c r="F286" s="236"/>
      <c r="G286" s="912">
        <f t="shared" si="29"/>
        <v>2195.9999999999982</v>
      </c>
      <c r="H286" s="914">
        <f t="shared" si="26"/>
        <v>3145.399999999991</v>
      </c>
      <c r="I286" s="915"/>
      <c r="J286" s="915"/>
      <c r="K286" s="916"/>
    </row>
    <row r="287" spans="1:11" ht="15" x14ac:dyDescent="0.25">
      <c r="A287" s="909"/>
      <c r="B287" s="910">
        <f t="shared" si="30"/>
        <v>200</v>
      </c>
      <c r="C287" s="917">
        <f t="shared" si="28"/>
        <v>2290.299999999997</v>
      </c>
      <c r="D287" s="917">
        <f t="shared" si="28"/>
        <v>2331.4999999999982</v>
      </c>
      <c r="E287" s="917">
        <f t="shared" si="25"/>
        <v>3664.3999999999851</v>
      </c>
      <c r="F287" s="236"/>
      <c r="G287" s="912">
        <f t="shared" si="29"/>
        <v>2206.2999999999984</v>
      </c>
      <c r="H287" s="914">
        <f t="shared" si="26"/>
        <v>3160.5999999999908</v>
      </c>
      <c r="I287" s="915"/>
      <c r="J287" s="915"/>
      <c r="K287" s="916"/>
    </row>
    <row r="288" spans="1:11" ht="15" x14ac:dyDescent="0.25">
      <c r="A288" s="909"/>
      <c r="B288" s="910">
        <f t="shared" si="30"/>
        <v>201</v>
      </c>
      <c r="C288" s="917">
        <f t="shared" si="28"/>
        <v>2300.5999999999972</v>
      </c>
      <c r="D288" s="917">
        <f t="shared" si="28"/>
        <v>2341.7999999999984</v>
      </c>
      <c r="E288" s="917">
        <f t="shared" si="25"/>
        <v>3680.999999999985</v>
      </c>
      <c r="F288" s="236"/>
      <c r="G288" s="912">
        <f t="shared" si="29"/>
        <v>2216.5999999999985</v>
      </c>
      <c r="H288" s="914">
        <f t="shared" si="26"/>
        <v>3175.7999999999906</v>
      </c>
      <c r="I288" s="915"/>
      <c r="J288" s="915"/>
      <c r="K288" s="916"/>
    </row>
    <row r="289" spans="1:11" ht="15" x14ac:dyDescent="0.25">
      <c r="A289" s="909"/>
      <c r="B289" s="910">
        <f t="shared" si="30"/>
        <v>202</v>
      </c>
      <c r="C289" s="917">
        <f t="shared" si="28"/>
        <v>2310.8999999999974</v>
      </c>
      <c r="D289" s="917">
        <f t="shared" si="28"/>
        <v>2352.0999999999985</v>
      </c>
      <c r="E289" s="917">
        <f t="shared" si="25"/>
        <v>3697.5999999999849</v>
      </c>
      <c r="F289" s="236"/>
      <c r="G289" s="912">
        <f t="shared" si="29"/>
        <v>2226.8999999999987</v>
      </c>
      <c r="H289" s="914">
        <f t="shared" si="26"/>
        <v>3190.9999999999905</v>
      </c>
      <c r="I289" s="915"/>
      <c r="J289" s="915"/>
      <c r="K289" s="916"/>
    </row>
    <row r="290" spans="1:11" ht="15" x14ac:dyDescent="0.25">
      <c r="A290" s="909"/>
      <c r="B290" s="910">
        <f t="shared" si="30"/>
        <v>203</v>
      </c>
      <c r="C290" s="917">
        <f t="shared" si="28"/>
        <v>2321.1999999999975</v>
      </c>
      <c r="D290" s="917">
        <f t="shared" si="28"/>
        <v>2362.3999999999987</v>
      </c>
      <c r="E290" s="917">
        <f t="shared" si="25"/>
        <v>3714.1999999999848</v>
      </c>
      <c r="F290" s="236"/>
      <c r="G290" s="912">
        <f t="shared" si="29"/>
        <v>2237.1999999999989</v>
      </c>
      <c r="H290" s="914">
        <f t="shared" si="26"/>
        <v>3206.1999999999903</v>
      </c>
      <c r="I290" s="915"/>
      <c r="J290" s="915"/>
      <c r="K290" s="916"/>
    </row>
    <row r="291" spans="1:11" ht="15" x14ac:dyDescent="0.25">
      <c r="A291" s="909"/>
      <c r="B291" s="910">
        <f t="shared" si="30"/>
        <v>204</v>
      </c>
      <c r="C291" s="917">
        <f t="shared" si="28"/>
        <v>2331.4999999999977</v>
      </c>
      <c r="D291" s="917">
        <f t="shared" si="28"/>
        <v>2372.6999999999989</v>
      </c>
      <c r="E291" s="917">
        <f t="shared" si="25"/>
        <v>3730.7999999999847</v>
      </c>
      <c r="F291" s="236"/>
      <c r="G291" s="912">
        <f t="shared" si="29"/>
        <v>2247.4999999999991</v>
      </c>
      <c r="H291" s="914">
        <f t="shared" si="26"/>
        <v>3221.3999999999901</v>
      </c>
      <c r="I291" s="915"/>
      <c r="J291" s="915"/>
      <c r="K291" s="916"/>
    </row>
    <row r="292" spans="1:11" ht="15" x14ac:dyDescent="0.25">
      <c r="A292" s="909"/>
      <c r="B292" s="910">
        <f t="shared" si="30"/>
        <v>205</v>
      </c>
      <c r="C292" s="917">
        <f t="shared" si="28"/>
        <v>2341.7999999999979</v>
      </c>
      <c r="D292" s="917">
        <f t="shared" si="28"/>
        <v>2382.9999999999991</v>
      </c>
      <c r="E292" s="917">
        <f t="shared" si="25"/>
        <v>3747.3999999999846</v>
      </c>
      <c r="F292" s="236"/>
      <c r="G292" s="912">
        <f t="shared" si="29"/>
        <v>2257.7999999999993</v>
      </c>
      <c r="H292" s="914">
        <f t="shared" si="26"/>
        <v>3236.5999999999899</v>
      </c>
      <c r="I292" s="915"/>
      <c r="J292" s="915"/>
      <c r="K292" s="916"/>
    </row>
    <row r="293" spans="1:11" ht="15" x14ac:dyDescent="0.25">
      <c r="A293" s="909"/>
      <c r="B293" s="910">
        <f t="shared" si="30"/>
        <v>206</v>
      </c>
      <c r="C293" s="917">
        <f t="shared" si="28"/>
        <v>2352.0999999999981</v>
      </c>
      <c r="D293" s="917">
        <f t="shared" si="28"/>
        <v>2393.2999999999993</v>
      </c>
      <c r="E293" s="917">
        <f t="shared" si="25"/>
        <v>3763.9999999999845</v>
      </c>
      <c r="F293" s="236"/>
      <c r="G293" s="912">
        <f t="shared" si="29"/>
        <v>2268.0999999999995</v>
      </c>
      <c r="H293" s="914">
        <f t="shared" si="26"/>
        <v>3251.7999999999897</v>
      </c>
      <c r="I293" s="915"/>
      <c r="J293" s="915"/>
      <c r="K293" s="916"/>
    </row>
    <row r="294" spans="1:11" ht="15" x14ac:dyDescent="0.25">
      <c r="A294" s="909"/>
      <c r="B294" s="910">
        <f t="shared" si="30"/>
        <v>207</v>
      </c>
      <c r="C294" s="917">
        <f t="shared" si="28"/>
        <v>2362.3999999999983</v>
      </c>
      <c r="D294" s="917">
        <f t="shared" si="28"/>
        <v>2403.5999999999995</v>
      </c>
      <c r="E294" s="917">
        <f t="shared" si="25"/>
        <v>3780.5999999999844</v>
      </c>
      <c r="F294" s="236"/>
      <c r="G294" s="912">
        <f t="shared" si="29"/>
        <v>2278.3999999999996</v>
      </c>
      <c r="H294" s="914">
        <f t="shared" si="26"/>
        <v>3266.9999999999895</v>
      </c>
      <c r="I294" s="915"/>
      <c r="J294" s="915"/>
      <c r="K294" s="916"/>
    </row>
    <row r="295" spans="1:11" ht="15" x14ac:dyDescent="0.25">
      <c r="A295" s="909"/>
      <c r="B295" s="910">
        <f t="shared" si="30"/>
        <v>208</v>
      </c>
      <c r="C295" s="917">
        <f t="shared" ref="C295:D310" si="31">C294+$A$118</f>
        <v>2372.6999999999985</v>
      </c>
      <c r="D295" s="917">
        <f t="shared" si="31"/>
        <v>2413.8999999999996</v>
      </c>
      <c r="E295" s="917">
        <f t="shared" si="25"/>
        <v>3797.1999999999844</v>
      </c>
      <c r="F295" s="236"/>
      <c r="G295" s="912">
        <f t="shared" si="29"/>
        <v>2288.6999999999998</v>
      </c>
      <c r="H295" s="914">
        <f t="shared" si="26"/>
        <v>3282.1999999999894</v>
      </c>
      <c r="I295" s="915"/>
      <c r="J295" s="915"/>
      <c r="K295" s="916"/>
    </row>
    <row r="296" spans="1:11" ht="15" x14ac:dyDescent="0.25">
      <c r="A296" s="909"/>
      <c r="B296" s="910">
        <f t="shared" si="30"/>
        <v>209</v>
      </c>
      <c r="C296" s="917">
        <f t="shared" si="31"/>
        <v>2382.9999999999986</v>
      </c>
      <c r="D296" s="917">
        <f t="shared" si="31"/>
        <v>2424.1999999999998</v>
      </c>
      <c r="E296" s="917">
        <f t="shared" si="25"/>
        <v>3813.7999999999843</v>
      </c>
      <c r="F296" s="236"/>
      <c r="G296" s="912">
        <f t="shared" si="29"/>
        <v>2299</v>
      </c>
      <c r="H296" s="914">
        <f t="shared" si="26"/>
        <v>3297.3999999999892</v>
      </c>
      <c r="I296" s="915"/>
      <c r="J296" s="915"/>
      <c r="K296" s="916"/>
    </row>
    <row r="297" spans="1:11" ht="15" x14ac:dyDescent="0.25">
      <c r="A297" s="909"/>
      <c r="B297" s="910">
        <f t="shared" si="30"/>
        <v>210</v>
      </c>
      <c r="C297" s="917">
        <f t="shared" si="31"/>
        <v>2393.2999999999988</v>
      </c>
      <c r="D297" s="917">
        <f t="shared" si="31"/>
        <v>2434.5</v>
      </c>
      <c r="E297" s="917">
        <f t="shared" si="25"/>
        <v>3830.3999999999842</v>
      </c>
      <c r="F297" s="236"/>
      <c r="G297" s="912">
        <f t="shared" si="29"/>
        <v>2309.3000000000002</v>
      </c>
      <c r="H297" s="914">
        <f t="shared" si="26"/>
        <v>3312.599999999989</v>
      </c>
      <c r="I297" s="915"/>
      <c r="J297" s="915"/>
      <c r="K297" s="916"/>
    </row>
    <row r="298" spans="1:11" ht="15" x14ac:dyDescent="0.25">
      <c r="A298" s="909"/>
      <c r="B298" s="910">
        <f t="shared" si="30"/>
        <v>211</v>
      </c>
      <c r="C298" s="917">
        <f t="shared" si="31"/>
        <v>2403.599999999999</v>
      </c>
      <c r="D298" s="917">
        <f t="shared" si="31"/>
        <v>2444.8000000000002</v>
      </c>
      <c r="E298" s="917">
        <f t="shared" si="25"/>
        <v>3846.9999999999841</v>
      </c>
      <c r="F298" s="236"/>
      <c r="G298" s="912">
        <f t="shared" si="29"/>
        <v>2319.6000000000004</v>
      </c>
      <c r="H298" s="914">
        <f t="shared" si="26"/>
        <v>3327.7999999999888</v>
      </c>
      <c r="I298" s="915"/>
      <c r="J298" s="915"/>
      <c r="K298" s="916"/>
    </row>
    <row r="299" spans="1:11" ht="15" x14ac:dyDescent="0.25">
      <c r="A299" s="909"/>
      <c r="B299" s="910">
        <f t="shared" si="30"/>
        <v>212</v>
      </c>
      <c r="C299" s="917">
        <f t="shared" si="31"/>
        <v>2413.8999999999992</v>
      </c>
      <c r="D299" s="917">
        <f t="shared" si="31"/>
        <v>2455.1000000000004</v>
      </c>
      <c r="E299" s="917">
        <f t="shared" si="25"/>
        <v>3863.599999999984</v>
      </c>
      <c r="F299" s="236"/>
      <c r="G299" s="912">
        <f t="shared" si="29"/>
        <v>2329.9000000000005</v>
      </c>
      <c r="H299" s="914">
        <f t="shared" si="26"/>
        <v>3342.9999999999886</v>
      </c>
      <c r="I299" s="915"/>
      <c r="J299" s="915"/>
      <c r="K299" s="916"/>
    </row>
    <row r="300" spans="1:11" ht="15" x14ac:dyDescent="0.25">
      <c r="A300" s="909"/>
      <c r="B300" s="910">
        <f t="shared" si="30"/>
        <v>213</v>
      </c>
      <c r="C300" s="917">
        <f t="shared" si="31"/>
        <v>2424.1999999999994</v>
      </c>
      <c r="D300" s="917">
        <f t="shared" si="31"/>
        <v>2465.4000000000005</v>
      </c>
      <c r="E300" s="917">
        <f t="shared" si="25"/>
        <v>3880.1999999999839</v>
      </c>
      <c r="F300" s="236"/>
      <c r="G300" s="912">
        <f t="shared" si="29"/>
        <v>2340.2000000000007</v>
      </c>
      <c r="H300" s="914">
        <f t="shared" si="26"/>
        <v>3358.1999999999884</v>
      </c>
      <c r="I300" s="915"/>
      <c r="J300" s="915"/>
      <c r="K300" s="916"/>
    </row>
    <row r="301" spans="1:11" ht="15" x14ac:dyDescent="0.25">
      <c r="A301" s="909"/>
      <c r="B301" s="910">
        <f t="shared" si="30"/>
        <v>214</v>
      </c>
      <c r="C301" s="917">
        <f t="shared" si="31"/>
        <v>2434.4999999999995</v>
      </c>
      <c r="D301" s="917">
        <f t="shared" si="31"/>
        <v>2475.7000000000007</v>
      </c>
      <c r="E301" s="917">
        <f t="shared" si="25"/>
        <v>3896.7999999999838</v>
      </c>
      <c r="F301" s="236"/>
      <c r="G301" s="912">
        <f t="shared" si="29"/>
        <v>2350.5000000000009</v>
      </c>
      <c r="H301" s="914">
        <f t="shared" si="26"/>
        <v>3373.3999999999883</v>
      </c>
      <c r="I301" s="915"/>
      <c r="J301" s="915"/>
      <c r="K301" s="916"/>
    </row>
    <row r="302" spans="1:11" ht="15" x14ac:dyDescent="0.25">
      <c r="A302" s="909"/>
      <c r="B302" s="910">
        <f t="shared" si="30"/>
        <v>215</v>
      </c>
      <c r="C302" s="917">
        <f t="shared" si="31"/>
        <v>2444.7999999999997</v>
      </c>
      <c r="D302" s="917">
        <f t="shared" si="31"/>
        <v>2486.0000000000009</v>
      </c>
      <c r="E302" s="917">
        <f t="shared" si="25"/>
        <v>3913.3999999999837</v>
      </c>
      <c r="F302" s="236"/>
      <c r="G302" s="912">
        <f t="shared" si="29"/>
        <v>2360.8000000000011</v>
      </c>
      <c r="H302" s="914">
        <f t="shared" si="26"/>
        <v>3388.5999999999881</v>
      </c>
      <c r="I302" s="915"/>
      <c r="J302" s="915"/>
      <c r="K302" s="916"/>
    </row>
    <row r="303" spans="1:11" ht="15" x14ac:dyDescent="0.25">
      <c r="A303" s="909"/>
      <c r="B303" s="910">
        <f t="shared" si="30"/>
        <v>216</v>
      </c>
      <c r="C303" s="917">
        <f t="shared" si="31"/>
        <v>2455.1</v>
      </c>
      <c r="D303" s="917">
        <f t="shared" si="31"/>
        <v>2496.3000000000011</v>
      </c>
      <c r="E303" s="917">
        <f t="shared" si="25"/>
        <v>3929.9999999999836</v>
      </c>
      <c r="F303" s="236"/>
      <c r="G303" s="912">
        <f t="shared" si="29"/>
        <v>2371.1000000000013</v>
      </c>
      <c r="H303" s="914">
        <f t="shared" si="26"/>
        <v>3403.7999999999879</v>
      </c>
      <c r="I303" s="915"/>
      <c r="J303" s="915"/>
      <c r="K303" s="916"/>
    </row>
    <row r="304" spans="1:11" ht="15" x14ac:dyDescent="0.25">
      <c r="A304" s="909"/>
      <c r="B304" s="910">
        <f t="shared" si="30"/>
        <v>217</v>
      </c>
      <c r="C304" s="917">
        <f t="shared" si="31"/>
        <v>2465.4</v>
      </c>
      <c r="D304" s="917">
        <f t="shared" si="31"/>
        <v>2506.6000000000013</v>
      </c>
      <c r="E304" s="917">
        <f t="shared" si="25"/>
        <v>3946.5999999999835</v>
      </c>
      <c r="F304" s="236"/>
      <c r="G304" s="912">
        <f t="shared" si="29"/>
        <v>2381.4000000000015</v>
      </c>
      <c r="H304" s="914">
        <f t="shared" si="26"/>
        <v>3418.9999999999877</v>
      </c>
      <c r="I304" s="915"/>
      <c r="J304" s="915"/>
      <c r="K304" s="916"/>
    </row>
    <row r="305" spans="1:11" ht="15" x14ac:dyDescent="0.25">
      <c r="A305" s="909"/>
      <c r="B305" s="910">
        <f t="shared" si="30"/>
        <v>218</v>
      </c>
      <c r="C305" s="917">
        <f t="shared" si="31"/>
        <v>2475.7000000000003</v>
      </c>
      <c r="D305" s="917">
        <f t="shared" si="31"/>
        <v>2516.9000000000015</v>
      </c>
      <c r="E305" s="917">
        <f t="shared" si="25"/>
        <v>3963.1999999999834</v>
      </c>
      <c r="F305" s="236"/>
      <c r="G305" s="912">
        <f t="shared" si="29"/>
        <v>2391.7000000000016</v>
      </c>
      <c r="H305" s="914">
        <f t="shared" si="26"/>
        <v>3434.1999999999875</v>
      </c>
      <c r="I305" s="915"/>
      <c r="J305" s="915"/>
      <c r="K305" s="916"/>
    </row>
    <row r="306" spans="1:11" ht="15" x14ac:dyDescent="0.25">
      <c r="A306" s="909"/>
      <c r="B306" s="910">
        <f t="shared" si="30"/>
        <v>219</v>
      </c>
      <c r="C306" s="917">
        <f t="shared" si="31"/>
        <v>2486.0000000000005</v>
      </c>
      <c r="D306" s="917">
        <f t="shared" si="31"/>
        <v>2527.2000000000016</v>
      </c>
      <c r="E306" s="917">
        <f t="shared" si="25"/>
        <v>3979.7999999999834</v>
      </c>
      <c r="F306" s="236"/>
      <c r="G306" s="912">
        <f t="shared" si="29"/>
        <v>2402.0000000000018</v>
      </c>
      <c r="H306" s="914">
        <f t="shared" si="26"/>
        <v>3449.3999999999874</v>
      </c>
      <c r="I306" s="915"/>
      <c r="J306" s="915"/>
      <c r="K306" s="916"/>
    </row>
    <row r="307" spans="1:11" ht="15" x14ac:dyDescent="0.25">
      <c r="A307" s="909"/>
      <c r="B307" s="910">
        <f t="shared" si="30"/>
        <v>220</v>
      </c>
      <c r="C307" s="917">
        <f t="shared" si="31"/>
        <v>2496.3000000000006</v>
      </c>
      <c r="D307" s="917">
        <f t="shared" si="31"/>
        <v>2537.5000000000018</v>
      </c>
      <c r="E307" s="917">
        <f t="shared" si="25"/>
        <v>3996.3999999999833</v>
      </c>
      <c r="F307" s="236"/>
      <c r="G307" s="912">
        <f t="shared" si="29"/>
        <v>2412.300000000002</v>
      </c>
      <c r="H307" s="914">
        <f t="shared" si="26"/>
        <v>3464.5999999999872</v>
      </c>
      <c r="I307" s="915"/>
      <c r="J307" s="915"/>
      <c r="K307" s="916"/>
    </row>
    <row r="308" spans="1:11" ht="15" x14ac:dyDescent="0.25">
      <c r="A308" s="909"/>
      <c r="B308" s="910">
        <f t="shared" si="30"/>
        <v>221</v>
      </c>
      <c r="C308" s="917">
        <f t="shared" si="31"/>
        <v>2506.6000000000008</v>
      </c>
      <c r="D308" s="917">
        <f t="shared" si="31"/>
        <v>2547.800000000002</v>
      </c>
      <c r="E308" s="917">
        <f t="shared" si="25"/>
        <v>4012.9999999999832</v>
      </c>
      <c r="F308" s="236"/>
      <c r="G308" s="912">
        <f t="shared" si="29"/>
        <v>2422.6000000000022</v>
      </c>
      <c r="H308" s="914">
        <f t="shared" si="26"/>
        <v>3479.799999999987</v>
      </c>
      <c r="I308" s="915"/>
      <c r="J308" s="915"/>
      <c r="K308" s="916"/>
    </row>
    <row r="309" spans="1:11" ht="15" x14ac:dyDescent="0.25">
      <c r="A309" s="909"/>
      <c r="B309" s="910">
        <f t="shared" si="30"/>
        <v>222</v>
      </c>
      <c r="C309" s="917">
        <f t="shared" si="31"/>
        <v>2516.900000000001</v>
      </c>
      <c r="D309" s="917">
        <f t="shared" si="31"/>
        <v>2558.1000000000022</v>
      </c>
      <c r="E309" s="917">
        <f t="shared" si="25"/>
        <v>4029.5999999999831</v>
      </c>
      <c r="F309" s="236"/>
      <c r="G309" s="912">
        <f t="shared" si="29"/>
        <v>2432.9000000000024</v>
      </c>
      <c r="H309" s="914">
        <f t="shared" si="26"/>
        <v>3494.9999999999868</v>
      </c>
      <c r="I309" s="915"/>
      <c r="J309" s="915"/>
      <c r="K309" s="916"/>
    </row>
    <row r="310" spans="1:11" ht="15" x14ac:dyDescent="0.25">
      <c r="A310" s="909"/>
      <c r="B310" s="910">
        <f t="shared" si="30"/>
        <v>223</v>
      </c>
      <c r="C310" s="917">
        <f t="shared" si="31"/>
        <v>2527.2000000000012</v>
      </c>
      <c r="D310" s="917">
        <f t="shared" si="31"/>
        <v>2568.4000000000024</v>
      </c>
      <c r="E310" s="917">
        <f t="shared" si="25"/>
        <v>4046.199999999983</v>
      </c>
      <c r="F310" s="236"/>
      <c r="G310" s="912">
        <f t="shared" si="29"/>
        <v>2443.2000000000025</v>
      </c>
      <c r="H310" s="914">
        <f t="shared" si="26"/>
        <v>3510.1999999999866</v>
      </c>
      <c r="I310" s="915"/>
      <c r="J310" s="915"/>
      <c r="K310" s="916"/>
    </row>
    <row r="311" spans="1:11" ht="15" x14ac:dyDescent="0.25">
      <c r="A311" s="909"/>
      <c r="B311" s="910">
        <f t="shared" si="30"/>
        <v>224</v>
      </c>
      <c r="C311" s="917">
        <f t="shared" ref="C311:D319" si="32">C310+$A$118</f>
        <v>2537.5000000000014</v>
      </c>
      <c r="D311" s="917">
        <f t="shared" si="32"/>
        <v>2578.7000000000025</v>
      </c>
      <c r="E311" s="917">
        <f t="shared" ref="E311:E319" si="33">E310+$F$118</f>
        <v>4062.7999999999829</v>
      </c>
      <c r="F311" s="236"/>
      <c r="G311" s="912">
        <f t="shared" si="29"/>
        <v>2453.5000000000027</v>
      </c>
      <c r="H311" s="914">
        <f t="shared" ref="H311:H319" si="34">H310+$I$118</f>
        <v>3525.3999999999864</v>
      </c>
      <c r="I311" s="915"/>
      <c r="J311" s="915"/>
      <c r="K311" s="916"/>
    </row>
    <row r="312" spans="1:11" ht="15" x14ac:dyDescent="0.25">
      <c r="A312" s="909"/>
      <c r="B312" s="910">
        <f t="shared" si="30"/>
        <v>225</v>
      </c>
      <c r="C312" s="917">
        <f t="shared" si="32"/>
        <v>2547.8000000000015</v>
      </c>
      <c r="D312" s="917">
        <f t="shared" si="32"/>
        <v>2589.0000000000027</v>
      </c>
      <c r="E312" s="917">
        <f t="shared" si="33"/>
        <v>4079.3999999999828</v>
      </c>
      <c r="F312" s="236"/>
      <c r="G312" s="912">
        <f t="shared" si="29"/>
        <v>2463.8000000000029</v>
      </c>
      <c r="H312" s="914">
        <f t="shared" si="34"/>
        <v>3540.5999999999863</v>
      </c>
      <c r="I312" s="915"/>
      <c r="J312" s="915"/>
      <c r="K312" s="916"/>
    </row>
    <row r="313" spans="1:11" ht="15" x14ac:dyDescent="0.25">
      <c r="A313" s="909"/>
      <c r="B313" s="910">
        <f t="shared" si="30"/>
        <v>226</v>
      </c>
      <c r="C313" s="917">
        <f t="shared" si="32"/>
        <v>2558.1000000000017</v>
      </c>
      <c r="D313" s="917">
        <f t="shared" si="32"/>
        <v>2599.3000000000029</v>
      </c>
      <c r="E313" s="917">
        <f t="shared" si="33"/>
        <v>4095.9999999999827</v>
      </c>
      <c r="F313" s="236"/>
      <c r="G313" s="912">
        <f t="shared" si="29"/>
        <v>2474.1000000000031</v>
      </c>
      <c r="H313" s="914">
        <f t="shared" si="34"/>
        <v>3555.7999999999861</v>
      </c>
      <c r="I313" s="915"/>
      <c r="J313" s="915"/>
      <c r="K313" s="916"/>
    </row>
    <row r="314" spans="1:11" ht="15" x14ac:dyDescent="0.25">
      <c r="A314" s="909"/>
      <c r="B314" s="910">
        <f t="shared" si="30"/>
        <v>227</v>
      </c>
      <c r="C314" s="917">
        <f t="shared" si="32"/>
        <v>2568.4000000000019</v>
      </c>
      <c r="D314" s="917">
        <f t="shared" si="32"/>
        <v>2609.6000000000031</v>
      </c>
      <c r="E314" s="917">
        <f t="shared" si="33"/>
        <v>4112.5999999999831</v>
      </c>
      <c r="F314" s="236"/>
      <c r="G314" s="912">
        <f t="shared" si="29"/>
        <v>2484.4000000000033</v>
      </c>
      <c r="H314" s="914">
        <f t="shared" si="34"/>
        <v>3570.9999999999859</v>
      </c>
      <c r="I314" s="915"/>
      <c r="J314" s="915"/>
      <c r="K314" s="916"/>
    </row>
    <row r="315" spans="1:11" ht="15" x14ac:dyDescent="0.25">
      <c r="A315" s="909"/>
      <c r="B315" s="910">
        <f t="shared" si="30"/>
        <v>228</v>
      </c>
      <c r="C315" s="917">
        <f t="shared" si="32"/>
        <v>2578.7000000000021</v>
      </c>
      <c r="D315" s="917">
        <f t="shared" si="32"/>
        <v>2619.9000000000033</v>
      </c>
      <c r="E315" s="917">
        <f t="shared" si="33"/>
        <v>4129.1999999999834</v>
      </c>
      <c r="F315" s="236"/>
      <c r="G315" s="912">
        <f t="shared" si="29"/>
        <v>2494.7000000000035</v>
      </c>
      <c r="H315" s="914">
        <f t="shared" si="34"/>
        <v>3586.1999999999857</v>
      </c>
      <c r="I315" s="915"/>
      <c r="J315" s="915"/>
      <c r="K315" s="916"/>
    </row>
    <row r="316" spans="1:11" ht="15" x14ac:dyDescent="0.25">
      <c r="A316" s="909"/>
      <c r="B316" s="910">
        <f t="shared" si="30"/>
        <v>229</v>
      </c>
      <c r="C316" s="917">
        <f t="shared" si="32"/>
        <v>2589.0000000000023</v>
      </c>
      <c r="D316" s="917">
        <f t="shared" si="32"/>
        <v>2630.2000000000035</v>
      </c>
      <c r="E316" s="917">
        <f t="shared" si="33"/>
        <v>4145.7999999999838</v>
      </c>
      <c r="F316" s="236"/>
      <c r="G316" s="912">
        <f t="shared" si="29"/>
        <v>2505.0000000000036</v>
      </c>
      <c r="H316" s="914">
        <f t="shared" si="34"/>
        <v>3601.3999999999855</v>
      </c>
      <c r="I316" s="915"/>
      <c r="J316" s="915"/>
      <c r="K316" s="916"/>
    </row>
    <row r="317" spans="1:11" ht="15" x14ac:dyDescent="0.25">
      <c r="A317" s="909"/>
      <c r="B317" s="910">
        <f t="shared" si="30"/>
        <v>230</v>
      </c>
      <c r="C317" s="917">
        <f t="shared" si="32"/>
        <v>2599.3000000000025</v>
      </c>
      <c r="D317" s="917">
        <f t="shared" si="32"/>
        <v>2640.5000000000036</v>
      </c>
      <c r="E317" s="917">
        <f t="shared" si="33"/>
        <v>4162.3999999999842</v>
      </c>
      <c r="F317" s="236"/>
      <c r="G317" s="912">
        <f t="shared" si="29"/>
        <v>2515.3000000000038</v>
      </c>
      <c r="H317" s="914">
        <f t="shared" si="34"/>
        <v>3616.5999999999854</v>
      </c>
      <c r="I317" s="915"/>
      <c r="J317" s="915"/>
      <c r="K317" s="916"/>
    </row>
    <row r="318" spans="1:11" ht="15" x14ac:dyDescent="0.25">
      <c r="A318" s="909"/>
      <c r="B318" s="910">
        <f t="shared" si="30"/>
        <v>231</v>
      </c>
      <c r="C318" s="917">
        <f t="shared" si="32"/>
        <v>2609.6000000000026</v>
      </c>
      <c r="D318" s="917">
        <f t="shared" si="32"/>
        <v>2650.8000000000038</v>
      </c>
      <c r="E318" s="917">
        <f t="shared" si="33"/>
        <v>4178.9999999999845</v>
      </c>
      <c r="F318" s="236"/>
      <c r="G318" s="912">
        <f t="shared" si="29"/>
        <v>2525.600000000004</v>
      </c>
      <c r="H318" s="914">
        <f t="shared" si="34"/>
        <v>3631.7999999999852</v>
      </c>
      <c r="I318" s="915"/>
      <c r="J318" s="915"/>
      <c r="K318" s="916"/>
    </row>
    <row r="319" spans="1:11" ht="15" x14ac:dyDescent="0.25">
      <c r="A319" s="909"/>
      <c r="B319" s="910">
        <f t="shared" si="30"/>
        <v>232</v>
      </c>
      <c r="C319" s="917">
        <f t="shared" si="32"/>
        <v>2619.9000000000028</v>
      </c>
      <c r="D319" s="917">
        <f t="shared" si="32"/>
        <v>2661.100000000004</v>
      </c>
      <c r="E319" s="917">
        <f t="shared" si="33"/>
        <v>4195.5999999999849</v>
      </c>
      <c r="F319" s="236"/>
      <c r="G319" s="912">
        <f t="shared" si="29"/>
        <v>2535.9000000000042</v>
      </c>
      <c r="H319" s="914">
        <f t="shared" si="34"/>
        <v>3646.999999999985</v>
      </c>
      <c r="I319" s="915"/>
      <c r="J319" s="915"/>
      <c r="K319" s="916"/>
    </row>
    <row r="320" spans="1:11" ht="15" x14ac:dyDescent="0.25">
      <c r="A320" s="844"/>
      <c r="B320" s="894"/>
      <c r="C320" s="894"/>
      <c r="D320" s="894"/>
      <c r="E320" s="894"/>
      <c r="F320" s="894"/>
      <c r="G320" s="894"/>
      <c r="H320" s="914"/>
      <c r="I320" s="915"/>
      <c r="J320" s="915"/>
      <c r="K320" s="916"/>
    </row>
    <row r="321" spans="1:11" ht="15" x14ac:dyDescent="0.25">
      <c r="A321" s="844"/>
      <c r="B321" s="894"/>
      <c r="C321" s="894"/>
      <c r="D321" s="894"/>
      <c r="E321" s="894"/>
      <c r="F321" s="894"/>
      <c r="G321" s="894"/>
      <c r="H321" s="914"/>
      <c r="I321" s="915"/>
      <c r="J321" s="915"/>
      <c r="K321" s="916"/>
    </row>
    <row r="322" spans="1:11" ht="15" x14ac:dyDescent="0.25">
      <c r="A322" s="844"/>
      <c r="B322" s="894"/>
      <c r="C322" s="894"/>
      <c r="D322" s="894"/>
      <c r="E322" s="894"/>
      <c r="F322" s="894"/>
      <c r="G322" s="894"/>
      <c r="H322" s="914"/>
      <c r="I322" s="915"/>
      <c r="J322" s="915"/>
      <c r="K322" s="916"/>
    </row>
    <row r="323" spans="1:11" ht="15" x14ac:dyDescent="0.25">
      <c r="A323" s="844"/>
      <c r="B323" s="894"/>
      <c r="C323" s="894"/>
      <c r="D323" s="894"/>
      <c r="E323" s="894"/>
      <c r="F323" s="894"/>
      <c r="G323" s="894"/>
      <c r="H323" s="914"/>
      <c r="I323" s="915"/>
      <c r="J323" s="915"/>
      <c r="K323" s="916"/>
    </row>
    <row r="324" spans="1:11" ht="15" x14ac:dyDescent="0.25">
      <c r="A324" s="844"/>
      <c r="B324" s="894"/>
      <c r="C324" s="894"/>
      <c r="D324" s="894"/>
      <c r="E324" s="894"/>
      <c r="F324" s="894"/>
      <c r="G324" s="894"/>
      <c r="H324" s="914"/>
      <c r="I324" s="915"/>
      <c r="J324" s="915"/>
      <c r="K324" s="916"/>
    </row>
    <row r="325" spans="1:11" ht="15" x14ac:dyDescent="0.25">
      <c r="A325" s="844"/>
      <c r="B325" s="894"/>
      <c r="C325" s="894"/>
      <c r="D325" s="894"/>
      <c r="E325" s="894"/>
      <c r="F325" s="894"/>
      <c r="G325" s="894"/>
      <c r="H325" s="914"/>
      <c r="I325" s="915"/>
      <c r="J325" s="915"/>
      <c r="K325" s="916"/>
    </row>
    <row r="326" spans="1:11" ht="15" x14ac:dyDescent="0.25">
      <c r="A326" s="844"/>
      <c r="B326" s="894"/>
      <c r="C326" s="894"/>
      <c r="D326" s="894"/>
      <c r="E326" s="894"/>
      <c r="F326" s="894"/>
      <c r="G326" s="894"/>
      <c r="H326" s="914"/>
      <c r="I326" s="915"/>
      <c r="J326" s="915"/>
      <c r="K326" s="916"/>
    </row>
    <row r="327" spans="1:11" ht="15" x14ac:dyDescent="0.25">
      <c r="A327" s="844"/>
      <c r="B327" s="894"/>
      <c r="C327" s="894"/>
      <c r="D327" s="894"/>
      <c r="E327" s="894"/>
      <c r="F327" s="894"/>
      <c r="G327" s="894"/>
      <c r="H327" s="914"/>
      <c r="I327" s="915"/>
      <c r="J327" s="915"/>
      <c r="K327" s="916"/>
    </row>
    <row r="328" spans="1:11" ht="15" x14ac:dyDescent="0.25">
      <c r="A328" s="844"/>
      <c r="B328" s="894"/>
      <c r="C328" s="894"/>
      <c r="D328" s="894"/>
      <c r="E328" s="894"/>
      <c r="F328" s="894"/>
      <c r="G328" s="894"/>
      <c r="H328" s="914"/>
      <c r="I328" s="915"/>
      <c r="J328" s="915"/>
      <c r="K328" s="916"/>
    </row>
    <row r="329" spans="1:11" ht="15" x14ac:dyDescent="0.25">
      <c r="A329" s="844"/>
      <c r="B329" s="894"/>
      <c r="C329" s="894"/>
      <c r="D329" s="894"/>
      <c r="E329" s="894"/>
      <c r="F329" s="894"/>
      <c r="G329" s="894"/>
      <c r="H329" s="914"/>
      <c r="I329" s="915"/>
      <c r="J329" s="915"/>
      <c r="K329" s="916"/>
    </row>
    <row r="330" spans="1:11" ht="15" x14ac:dyDescent="0.25">
      <c r="A330" s="844"/>
      <c r="B330" s="894"/>
      <c r="C330" s="894"/>
      <c r="D330" s="894"/>
      <c r="E330" s="894"/>
      <c r="F330" s="894"/>
      <c r="G330" s="894"/>
      <c r="H330" s="914"/>
      <c r="I330" s="915"/>
      <c r="J330" s="915"/>
      <c r="K330" s="916"/>
    </row>
    <row r="331" spans="1:11" ht="15" x14ac:dyDescent="0.25">
      <c r="A331" s="844"/>
      <c r="B331" s="894"/>
      <c r="C331" s="894"/>
      <c r="D331" s="894"/>
      <c r="E331" s="894"/>
      <c r="F331" s="894"/>
      <c r="G331" s="894"/>
      <c r="H331" s="914"/>
      <c r="I331" s="915"/>
      <c r="J331" s="915"/>
      <c r="K331" s="916"/>
    </row>
    <row r="332" spans="1:11" ht="15" x14ac:dyDescent="0.25">
      <c r="A332" s="844"/>
      <c r="B332" s="894"/>
      <c r="C332" s="894"/>
      <c r="D332" s="894"/>
      <c r="E332" s="894"/>
      <c r="F332" s="894"/>
      <c r="G332" s="894"/>
      <c r="H332" s="914"/>
      <c r="I332" s="915"/>
      <c r="J332" s="915"/>
      <c r="K332" s="916"/>
    </row>
    <row r="333" spans="1:11" ht="15" x14ac:dyDescent="0.25">
      <c r="A333" s="844"/>
      <c r="B333" s="894"/>
      <c r="C333" s="894"/>
      <c r="D333" s="894"/>
      <c r="E333" s="894"/>
      <c r="F333" s="894"/>
      <c r="G333" s="894"/>
      <c r="H333" s="914"/>
      <c r="I333" s="915"/>
      <c r="J333" s="915"/>
      <c r="K333" s="916"/>
    </row>
    <row r="334" spans="1:11" ht="15" x14ac:dyDescent="0.25">
      <c r="A334" s="844"/>
      <c r="B334" s="894"/>
      <c r="C334" s="894"/>
      <c r="D334" s="894"/>
      <c r="E334" s="894"/>
      <c r="F334" s="894"/>
      <c r="G334" s="894"/>
      <c r="H334" s="914"/>
      <c r="I334" s="915"/>
      <c r="J334" s="915"/>
      <c r="K334" s="916"/>
    </row>
    <row r="335" spans="1:11" ht="15" x14ac:dyDescent="0.25">
      <c r="A335" s="844"/>
      <c r="B335" s="894"/>
      <c r="C335" s="894"/>
      <c r="D335" s="894"/>
      <c r="E335" s="894"/>
      <c r="F335" s="894"/>
      <c r="G335" s="894"/>
      <c r="H335" s="914"/>
      <c r="I335" s="915"/>
      <c r="J335" s="915"/>
      <c r="K335" s="916"/>
    </row>
    <row r="336" spans="1:11" ht="15" x14ac:dyDescent="0.25">
      <c r="A336" s="844"/>
      <c r="B336" s="894"/>
      <c r="C336" s="894"/>
      <c r="D336" s="894"/>
      <c r="E336" s="894"/>
      <c r="F336" s="894"/>
      <c r="G336" s="894"/>
      <c r="H336" s="914"/>
      <c r="I336" s="915"/>
      <c r="J336" s="915"/>
      <c r="K336" s="916"/>
    </row>
    <row r="337" spans="1:11" ht="15" x14ac:dyDescent="0.25">
      <c r="A337" s="844"/>
      <c r="B337" s="894"/>
      <c r="C337" s="894"/>
      <c r="D337" s="894"/>
      <c r="E337" s="894"/>
      <c r="F337" s="894"/>
      <c r="G337" s="894"/>
      <c r="H337" s="914"/>
      <c r="I337" s="915"/>
      <c r="J337" s="915"/>
      <c r="K337" s="916"/>
    </row>
    <row r="338" spans="1:11" ht="15" x14ac:dyDescent="0.25">
      <c r="A338" s="844"/>
      <c r="B338" s="894"/>
      <c r="C338" s="894"/>
      <c r="D338" s="894"/>
      <c r="E338" s="894"/>
      <c r="F338" s="894"/>
      <c r="G338" s="894"/>
      <c r="H338" s="914"/>
      <c r="I338" s="915"/>
      <c r="J338" s="915"/>
      <c r="K338" s="916"/>
    </row>
    <row r="339" spans="1:11" ht="15" x14ac:dyDescent="0.25">
      <c r="A339" s="844"/>
      <c r="B339" s="894"/>
      <c r="C339" s="894"/>
      <c r="D339" s="894"/>
      <c r="E339" s="894"/>
      <c r="F339" s="894"/>
      <c r="G339" s="894"/>
      <c r="H339" s="914"/>
      <c r="I339" s="915"/>
      <c r="J339" s="915"/>
      <c r="K339" s="916"/>
    </row>
    <row r="340" spans="1:11" ht="15" x14ac:dyDescent="0.25">
      <c r="A340" s="844"/>
      <c r="B340" s="894"/>
      <c r="C340" s="894"/>
      <c r="D340" s="894"/>
      <c r="E340" s="894"/>
      <c r="F340" s="894"/>
      <c r="G340" s="894"/>
      <c r="H340" s="914"/>
      <c r="I340" s="915"/>
      <c r="J340" s="915"/>
      <c r="K340" s="916"/>
    </row>
    <row r="341" spans="1:11" ht="15" x14ac:dyDescent="0.25">
      <c r="A341" s="844"/>
      <c r="B341" s="894"/>
      <c r="C341" s="894"/>
      <c r="D341" s="894"/>
      <c r="E341" s="894"/>
      <c r="F341" s="894"/>
      <c r="G341" s="894"/>
      <c r="H341" s="914"/>
      <c r="I341" s="915"/>
      <c r="J341" s="915"/>
      <c r="K341" s="916"/>
    </row>
    <row r="342" spans="1:11" ht="15" x14ac:dyDescent="0.25">
      <c r="A342" s="844"/>
      <c r="B342" s="894"/>
      <c r="C342" s="894"/>
      <c r="D342" s="894"/>
      <c r="E342" s="894"/>
      <c r="F342" s="894"/>
      <c r="G342" s="894"/>
      <c r="H342" s="914"/>
      <c r="I342" s="915"/>
      <c r="J342" s="915"/>
      <c r="K342" s="916"/>
    </row>
    <row r="343" spans="1:11" ht="15" x14ac:dyDescent="0.25">
      <c r="A343" s="844"/>
      <c r="B343" s="894"/>
      <c r="C343" s="894"/>
      <c r="D343" s="894"/>
      <c r="E343" s="894"/>
      <c r="F343" s="894"/>
      <c r="G343" s="894"/>
      <c r="H343" s="914"/>
      <c r="I343" s="915"/>
      <c r="J343" s="915"/>
      <c r="K343" s="916"/>
    </row>
    <row r="344" spans="1:11" ht="15" x14ac:dyDescent="0.25">
      <c r="A344" s="844"/>
      <c r="B344" s="894"/>
      <c r="C344" s="894"/>
      <c r="D344" s="894"/>
      <c r="E344" s="894"/>
      <c r="F344" s="894"/>
      <c r="G344" s="894"/>
      <c r="H344" s="914"/>
      <c r="I344" s="915"/>
      <c r="J344" s="915"/>
      <c r="K344" s="916"/>
    </row>
    <row r="345" spans="1:11" ht="15" x14ac:dyDescent="0.25">
      <c r="A345" s="844"/>
      <c r="B345" s="894"/>
      <c r="C345" s="894"/>
      <c r="D345" s="894"/>
      <c r="E345" s="894"/>
      <c r="F345" s="894"/>
      <c r="G345" s="894"/>
      <c r="H345" s="914"/>
      <c r="I345" s="915"/>
      <c r="J345" s="915"/>
      <c r="K345" s="916"/>
    </row>
    <row r="346" spans="1:11" ht="15" x14ac:dyDescent="0.25">
      <c r="A346" s="844"/>
      <c r="B346" s="894"/>
      <c r="C346" s="894"/>
      <c r="D346" s="894"/>
      <c r="E346" s="894"/>
      <c r="F346" s="894"/>
      <c r="G346" s="894"/>
      <c r="H346" s="914"/>
      <c r="I346" s="915"/>
      <c r="J346" s="915"/>
      <c r="K346" s="916"/>
    </row>
    <row r="347" spans="1:11" ht="15" x14ac:dyDescent="0.25">
      <c r="A347" s="844"/>
      <c r="B347" s="894"/>
      <c r="C347" s="894"/>
      <c r="D347" s="894"/>
      <c r="E347" s="894"/>
      <c r="F347" s="894"/>
      <c r="G347" s="894"/>
      <c r="H347" s="914"/>
      <c r="I347" s="915"/>
      <c r="J347" s="915"/>
      <c r="K347" s="916"/>
    </row>
    <row r="348" spans="1:11" ht="15" x14ac:dyDescent="0.25">
      <c r="A348" s="844"/>
      <c r="B348" s="894"/>
      <c r="C348" s="894"/>
      <c r="D348" s="894"/>
      <c r="E348" s="894"/>
      <c r="F348" s="894"/>
      <c r="G348" s="894"/>
      <c r="H348" s="914"/>
      <c r="I348" s="915"/>
      <c r="J348" s="915"/>
      <c r="K348" s="916"/>
    </row>
    <row r="349" spans="1:11" ht="15" x14ac:dyDescent="0.25">
      <c r="A349" s="844"/>
      <c r="B349" s="894"/>
      <c r="C349" s="894"/>
      <c r="D349" s="894"/>
      <c r="E349" s="894"/>
      <c r="F349" s="894"/>
      <c r="G349" s="894"/>
      <c r="H349" s="918"/>
      <c r="I349" s="915"/>
      <c r="J349" s="915"/>
      <c r="K349" s="916"/>
    </row>
    <row r="350" spans="1:11" ht="15" x14ac:dyDescent="0.25">
      <c r="A350" s="844"/>
      <c r="B350" s="894"/>
      <c r="C350" s="894"/>
      <c r="D350" s="894"/>
      <c r="E350" s="894"/>
      <c r="F350" s="894"/>
      <c r="G350" s="894"/>
      <c r="H350" s="918"/>
      <c r="I350" s="915"/>
      <c r="J350" s="915"/>
      <c r="K350" s="916"/>
    </row>
    <row r="351" spans="1:11" ht="15" x14ac:dyDescent="0.25">
      <c r="A351" s="844"/>
      <c r="B351" s="894"/>
      <c r="C351" s="894"/>
      <c r="D351" s="894"/>
      <c r="E351" s="894"/>
      <c r="F351" s="894"/>
      <c r="G351" s="894"/>
      <c r="H351" s="918"/>
      <c r="I351" s="915"/>
      <c r="J351" s="915"/>
      <c r="K351" s="916"/>
    </row>
    <row r="352" spans="1:11" ht="15" x14ac:dyDescent="0.25">
      <c r="A352" s="844"/>
      <c r="B352" s="894"/>
      <c r="C352" s="894"/>
      <c r="D352" s="894"/>
      <c r="E352" s="894"/>
      <c r="F352" s="894"/>
      <c r="G352" s="894"/>
      <c r="H352" s="918"/>
      <c r="I352" s="915"/>
      <c r="J352" s="915"/>
      <c r="K352" s="916"/>
    </row>
    <row r="353" spans="1:11" ht="15" x14ac:dyDescent="0.25">
      <c r="A353" s="844"/>
      <c r="B353" s="894"/>
      <c r="C353" s="894"/>
      <c r="D353" s="894"/>
      <c r="E353" s="894"/>
      <c r="F353" s="894"/>
      <c r="G353" s="894"/>
      <c r="H353" s="918"/>
      <c r="I353" s="915"/>
      <c r="J353" s="915"/>
      <c r="K353" s="916"/>
    </row>
    <row r="354" spans="1:11" ht="15" x14ac:dyDescent="0.25">
      <c r="A354" s="844"/>
      <c r="B354" s="894"/>
      <c r="C354" s="894"/>
      <c r="D354" s="894"/>
      <c r="E354" s="894"/>
      <c r="F354" s="894"/>
      <c r="G354" s="894"/>
      <c r="H354" s="918"/>
      <c r="I354" s="915"/>
      <c r="J354" s="915"/>
      <c r="K354" s="916"/>
    </row>
    <row r="355" spans="1:11" ht="15" x14ac:dyDescent="0.25">
      <c r="A355" s="844"/>
      <c r="B355" s="894"/>
      <c r="C355" s="894"/>
      <c r="D355" s="894"/>
      <c r="E355" s="894"/>
      <c r="F355" s="894"/>
      <c r="G355" s="894"/>
      <c r="H355" s="918"/>
      <c r="I355" s="915"/>
      <c r="J355" s="915"/>
      <c r="K355" s="916"/>
    </row>
    <row r="356" spans="1:11" ht="15" x14ac:dyDescent="0.25">
      <c r="A356" s="844"/>
      <c r="B356" s="894"/>
      <c r="C356" s="894"/>
      <c r="D356" s="894"/>
      <c r="E356" s="894"/>
      <c r="F356" s="894"/>
      <c r="G356" s="894"/>
      <c r="H356" s="918"/>
      <c r="I356" s="915"/>
      <c r="J356" s="915"/>
      <c r="K356" s="916"/>
    </row>
    <row r="357" spans="1:11" ht="15" x14ac:dyDescent="0.25">
      <c r="A357" s="844"/>
      <c r="B357" s="894"/>
      <c r="C357" s="894"/>
      <c r="D357" s="894"/>
      <c r="E357" s="894"/>
      <c r="F357" s="894"/>
      <c r="G357" s="894"/>
      <c r="H357" s="918"/>
      <c r="I357" s="915"/>
      <c r="J357" s="915"/>
      <c r="K357" s="916"/>
    </row>
    <row r="358" spans="1:11" ht="15" x14ac:dyDescent="0.25">
      <c r="A358" s="844"/>
      <c r="B358" s="894"/>
      <c r="C358" s="894"/>
      <c r="D358" s="894"/>
      <c r="E358" s="894"/>
      <c r="F358" s="894"/>
      <c r="G358" s="894"/>
      <c r="H358" s="918"/>
      <c r="I358" s="915"/>
      <c r="J358" s="915"/>
      <c r="K358" s="916"/>
    </row>
    <row r="359" spans="1:11" ht="15" x14ac:dyDescent="0.25">
      <c r="A359" s="844"/>
      <c r="B359" s="894"/>
      <c r="C359" s="894"/>
      <c r="D359" s="894"/>
      <c r="E359" s="894"/>
      <c r="F359" s="894"/>
      <c r="G359" s="894"/>
      <c r="H359" s="918"/>
      <c r="I359" s="915"/>
      <c r="J359" s="915"/>
      <c r="K359" s="916"/>
    </row>
    <row r="360" spans="1:11" ht="15" x14ac:dyDescent="0.25">
      <c r="A360" s="844"/>
      <c r="B360" s="894"/>
      <c r="C360" s="894"/>
      <c r="D360" s="894"/>
      <c r="E360" s="894"/>
      <c r="F360" s="894"/>
      <c r="G360" s="894"/>
      <c r="H360" s="918"/>
      <c r="I360" s="915"/>
      <c r="J360" s="915"/>
      <c r="K360" s="916"/>
    </row>
    <row r="361" spans="1:11" ht="15" x14ac:dyDescent="0.25">
      <c r="A361" s="844"/>
      <c r="B361" s="894"/>
      <c r="C361" s="894"/>
      <c r="D361" s="894"/>
      <c r="E361" s="894"/>
      <c r="F361" s="894"/>
      <c r="G361" s="894"/>
      <c r="H361" s="918"/>
      <c r="I361" s="915"/>
      <c r="J361" s="915"/>
      <c r="K361" s="916"/>
    </row>
    <row r="362" spans="1:11" ht="15" x14ac:dyDescent="0.25">
      <c r="A362" s="844"/>
      <c r="B362" s="894"/>
      <c r="C362" s="894"/>
      <c r="D362" s="894"/>
      <c r="E362" s="894"/>
      <c r="F362" s="894"/>
      <c r="G362" s="894"/>
      <c r="H362" s="918"/>
      <c r="I362" s="915"/>
      <c r="J362" s="915"/>
      <c r="K362" s="916"/>
    </row>
    <row r="363" spans="1:11" ht="15" x14ac:dyDescent="0.25">
      <c r="A363" s="844"/>
      <c r="B363" s="894"/>
      <c r="C363" s="894"/>
      <c r="D363" s="894"/>
      <c r="E363" s="894"/>
      <c r="F363" s="894"/>
      <c r="G363" s="894"/>
      <c r="H363" s="918"/>
      <c r="I363" s="915"/>
      <c r="J363" s="915"/>
      <c r="K363" s="916"/>
    </row>
    <row r="364" spans="1:11" ht="15" x14ac:dyDescent="0.25">
      <c r="A364" s="844"/>
      <c r="B364" s="894"/>
      <c r="C364" s="894"/>
      <c r="D364" s="894"/>
      <c r="E364" s="894"/>
      <c r="F364" s="894"/>
      <c r="G364" s="894"/>
      <c r="H364" s="918"/>
      <c r="I364" s="915"/>
      <c r="J364" s="915"/>
      <c r="K364" s="916"/>
    </row>
    <row r="365" spans="1:11" ht="15" x14ac:dyDescent="0.25">
      <c r="A365" s="844"/>
      <c r="B365" s="894"/>
      <c r="C365" s="894"/>
      <c r="D365" s="894"/>
      <c r="E365" s="894"/>
      <c r="F365" s="894"/>
      <c r="G365" s="894"/>
      <c r="H365" s="918"/>
      <c r="I365" s="915"/>
      <c r="J365" s="915"/>
      <c r="K365" s="916"/>
    </row>
    <row r="366" spans="1:11" ht="15" x14ac:dyDescent="0.25">
      <c r="A366" s="844"/>
      <c r="B366" s="894"/>
      <c r="C366" s="894"/>
      <c r="D366" s="894"/>
      <c r="E366" s="894"/>
      <c r="F366" s="894"/>
      <c r="G366" s="894"/>
      <c r="H366" s="918"/>
      <c r="I366" s="915"/>
      <c r="J366" s="915"/>
      <c r="K366" s="916"/>
    </row>
    <row r="367" spans="1:11" ht="15" x14ac:dyDescent="0.25">
      <c r="A367" s="844"/>
      <c r="B367" s="894"/>
      <c r="C367" s="894"/>
      <c r="D367" s="894"/>
      <c r="E367" s="894"/>
      <c r="F367" s="894"/>
      <c r="G367" s="894"/>
      <c r="H367" s="918"/>
      <c r="I367" s="915"/>
      <c r="J367" s="915"/>
      <c r="K367" s="916"/>
    </row>
    <row r="368" spans="1:11" ht="15" x14ac:dyDescent="0.25">
      <c r="A368" s="844"/>
      <c r="B368" s="894"/>
      <c r="C368" s="894"/>
      <c r="D368" s="894"/>
      <c r="E368" s="894"/>
      <c r="F368" s="894"/>
      <c r="G368" s="894"/>
      <c r="H368" s="918"/>
      <c r="I368" s="915"/>
      <c r="J368" s="915"/>
      <c r="K368" s="916"/>
    </row>
    <row r="369" spans="1:11" ht="15" x14ac:dyDescent="0.25">
      <c r="A369" s="844"/>
      <c r="B369" s="894"/>
      <c r="C369" s="894"/>
      <c r="D369" s="894"/>
      <c r="E369" s="894"/>
      <c r="F369" s="894"/>
      <c r="G369" s="894"/>
      <c r="H369" s="918"/>
      <c r="I369" s="915"/>
      <c r="J369" s="915"/>
      <c r="K369" s="916"/>
    </row>
    <row r="370" spans="1:11" ht="15" x14ac:dyDescent="0.25">
      <c r="A370" s="844"/>
      <c r="B370" s="894"/>
      <c r="C370" s="894"/>
      <c r="D370" s="894"/>
      <c r="E370" s="894"/>
      <c r="F370" s="894"/>
      <c r="G370" s="894"/>
      <c r="H370" s="918"/>
      <c r="I370" s="915"/>
      <c r="J370" s="915"/>
      <c r="K370" s="916"/>
    </row>
    <row r="371" spans="1:11" ht="15" x14ac:dyDescent="0.25">
      <c r="A371" s="844"/>
      <c r="B371" s="894"/>
      <c r="C371" s="894"/>
      <c r="D371" s="894"/>
      <c r="E371" s="894"/>
      <c r="F371" s="894"/>
      <c r="G371" s="894"/>
      <c r="H371" s="918"/>
      <c r="I371" s="915"/>
      <c r="J371" s="915"/>
      <c r="K371" s="916"/>
    </row>
    <row r="372" spans="1:11" ht="15" x14ac:dyDescent="0.25">
      <c r="A372" s="844"/>
      <c r="B372" s="894"/>
      <c r="C372" s="894"/>
      <c r="D372" s="894"/>
      <c r="E372" s="894"/>
      <c r="F372" s="894"/>
      <c r="G372" s="894"/>
      <c r="H372" s="918"/>
      <c r="I372" s="915"/>
      <c r="J372" s="915"/>
      <c r="K372" s="916"/>
    </row>
    <row r="373" spans="1:11" ht="15" x14ac:dyDescent="0.25">
      <c r="A373" s="844"/>
      <c r="B373" s="894"/>
      <c r="C373" s="894"/>
      <c r="D373" s="894"/>
      <c r="E373" s="894"/>
      <c r="F373" s="894"/>
      <c r="G373" s="894"/>
      <c r="H373" s="918"/>
      <c r="I373" s="915"/>
      <c r="J373" s="915"/>
      <c r="K373" s="916"/>
    </row>
    <row r="374" spans="1:11" ht="15" x14ac:dyDescent="0.25">
      <c r="A374" s="844"/>
      <c r="B374" s="894"/>
      <c r="C374" s="894"/>
      <c r="D374" s="894"/>
      <c r="E374" s="894"/>
      <c r="F374" s="894"/>
      <c r="G374" s="894"/>
      <c r="H374" s="918"/>
      <c r="I374" s="915"/>
      <c r="J374" s="915"/>
      <c r="K374" s="916"/>
    </row>
    <row r="375" spans="1:11" ht="15" x14ac:dyDescent="0.25">
      <c r="A375" s="844"/>
      <c r="B375" s="894"/>
      <c r="C375" s="894"/>
      <c r="D375" s="894"/>
      <c r="E375" s="894"/>
      <c r="F375" s="894"/>
      <c r="G375" s="894"/>
      <c r="H375" s="918"/>
      <c r="I375" s="915"/>
      <c r="J375" s="915"/>
      <c r="K375" s="916"/>
    </row>
    <row r="376" spans="1:11" ht="15" x14ac:dyDescent="0.25">
      <c r="A376" s="844"/>
      <c r="B376" s="894"/>
      <c r="C376" s="894"/>
      <c r="D376" s="894"/>
      <c r="E376" s="894"/>
      <c r="F376" s="894"/>
      <c r="G376" s="894"/>
      <c r="H376" s="918"/>
      <c r="I376" s="915"/>
      <c r="J376" s="915"/>
      <c r="K376" s="916"/>
    </row>
    <row r="377" spans="1:11" ht="15" x14ac:dyDescent="0.25">
      <c r="B377" s="919"/>
      <c r="C377" s="919"/>
      <c r="D377" s="919"/>
      <c r="E377" s="919"/>
      <c r="F377" s="919"/>
      <c r="G377" s="919"/>
      <c r="H377" s="920"/>
      <c r="I377" s="916"/>
      <c r="J377" s="916"/>
      <c r="K377" s="916"/>
    </row>
    <row r="378" spans="1:11" ht="15" x14ac:dyDescent="0.25">
      <c r="B378" s="919"/>
      <c r="C378" s="919"/>
      <c r="D378" s="919"/>
      <c r="E378" s="919"/>
      <c r="F378" s="919"/>
      <c r="G378" s="919"/>
      <c r="H378" s="920"/>
      <c r="I378" s="916"/>
      <c r="J378" s="916"/>
      <c r="K378" s="916"/>
    </row>
    <row r="379" spans="1:11" ht="15" x14ac:dyDescent="0.25">
      <c r="B379" s="919"/>
      <c r="C379" s="919"/>
      <c r="D379" s="919"/>
      <c r="E379" s="919"/>
      <c r="F379" s="919"/>
      <c r="G379" s="919"/>
      <c r="H379" s="920"/>
      <c r="I379" s="916"/>
      <c r="J379" s="916"/>
      <c r="K379" s="916"/>
    </row>
    <row r="380" spans="1:11" ht="15" x14ac:dyDescent="0.25">
      <c r="B380" s="919"/>
      <c r="C380" s="919"/>
      <c r="D380" s="919"/>
      <c r="E380" s="919"/>
      <c r="F380" s="919"/>
      <c r="G380" s="919"/>
      <c r="H380" s="920"/>
      <c r="I380" s="916"/>
      <c r="J380" s="916"/>
      <c r="K380" s="916"/>
    </row>
    <row r="381" spans="1:11" ht="15" x14ac:dyDescent="0.25">
      <c r="B381" s="919"/>
      <c r="C381" s="919"/>
      <c r="D381" s="919"/>
      <c r="E381" s="919"/>
      <c r="F381" s="919"/>
      <c r="G381" s="919"/>
      <c r="H381" s="920"/>
      <c r="I381" s="916"/>
      <c r="J381" s="916"/>
      <c r="K381" s="916"/>
    </row>
    <row r="382" spans="1:11" ht="15" x14ac:dyDescent="0.25">
      <c r="B382" s="919"/>
      <c r="C382" s="919"/>
      <c r="D382" s="919"/>
      <c r="E382" s="919"/>
      <c r="F382" s="919"/>
      <c r="G382" s="919"/>
      <c r="H382" s="920"/>
      <c r="I382" s="916"/>
      <c r="J382" s="916"/>
      <c r="K382" s="916"/>
    </row>
    <row r="383" spans="1:11" x14ac:dyDescent="0.2">
      <c r="H383" s="916"/>
      <c r="I383" s="916"/>
      <c r="J383" s="916"/>
      <c r="K383" s="916"/>
    </row>
    <row r="384" spans="1:11" x14ac:dyDescent="0.2">
      <c r="H384" s="916"/>
      <c r="I384" s="916"/>
      <c r="J384" s="916"/>
      <c r="K384" s="916"/>
    </row>
    <row r="385" spans="8:11" x14ac:dyDescent="0.2">
      <c r="H385" s="916"/>
      <c r="I385" s="916"/>
      <c r="J385" s="916"/>
      <c r="K385" s="916"/>
    </row>
    <row r="386" spans="8:11" x14ac:dyDescent="0.2">
      <c r="H386" s="916"/>
      <c r="I386" s="916"/>
      <c r="J386" s="916"/>
      <c r="K386" s="916"/>
    </row>
    <row r="387" spans="8:11" x14ac:dyDescent="0.2">
      <c r="H387" s="916"/>
      <c r="I387" s="916"/>
      <c r="J387" s="916"/>
      <c r="K387" s="916"/>
    </row>
    <row r="388" spans="8:11" x14ac:dyDescent="0.2">
      <c r="H388" s="916"/>
      <c r="I388" s="916"/>
      <c r="J388" s="916"/>
      <c r="K388" s="916"/>
    </row>
    <row r="389" spans="8:11" x14ac:dyDescent="0.2">
      <c r="H389" s="916"/>
      <c r="I389" s="916"/>
      <c r="J389" s="916"/>
      <c r="K389" s="916"/>
    </row>
    <row r="390" spans="8:11" x14ac:dyDescent="0.2">
      <c r="H390" s="916"/>
      <c r="I390" s="916"/>
      <c r="J390" s="916"/>
      <c r="K390" s="916"/>
    </row>
    <row r="391" spans="8:11" x14ac:dyDescent="0.2">
      <c r="H391" s="916"/>
      <c r="I391" s="916"/>
      <c r="J391" s="916"/>
      <c r="K391" s="916"/>
    </row>
    <row r="392" spans="8:11" x14ac:dyDescent="0.2">
      <c r="H392" s="916"/>
      <c r="I392" s="916"/>
      <c r="J392" s="916"/>
      <c r="K392" s="916"/>
    </row>
    <row r="393" spans="8:11" x14ac:dyDescent="0.2">
      <c r="H393" s="916"/>
      <c r="I393" s="916"/>
      <c r="J393" s="916"/>
      <c r="K393" s="916"/>
    </row>
    <row r="394" spans="8:11" x14ac:dyDescent="0.2">
      <c r="H394" s="916"/>
      <c r="I394" s="916"/>
      <c r="J394" s="916"/>
      <c r="K394" s="916"/>
    </row>
    <row r="395" spans="8:11" x14ac:dyDescent="0.2">
      <c r="H395" s="916"/>
      <c r="I395" s="916"/>
      <c r="J395" s="916"/>
      <c r="K395" s="916"/>
    </row>
    <row r="396" spans="8:11" x14ac:dyDescent="0.2">
      <c r="H396" s="916"/>
      <c r="I396" s="916"/>
      <c r="J396" s="916"/>
      <c r="K396" s="916"/>
    </row>
    <row r="397" spans="8:11" x14ac:dyDescent="0.2">
      <c r="H397" s="916"/>
      <c r="I397" s="916"/>
      <c r="J397" s="916"/>
      <c r="K397" s="916"/>
    </row>
    <row r="398" spans="8:11" x14ac:dyDescent="0.2">
      <c r="H398" s="916"/>
      <c r="I398" s="916"/>
      <c r="J398" s="916"/>
      <c r="K398" s="916"/>
    </row>
    <row r="399" spans="8:11" x14ac:dyDescent="0.2">
      <c r="H399" s="916"/>
      <c r="I399" s="916"/>
      <c r="J399" s="916"/>
      <c r="K399" s="916"/>
    </row>
    <row r="400" spans="8:11" x14ac:dyDescent="0.2">
      <c r="H400" s="916"/>
      <c r="I400" s="916"/>
      <c r="J400" s="916"/>
      <c r="K400" s="916"/>
    </row>
    <row r="401" spans="8:11" x14ac:dyDescent="0.2">
      <c r="H401" s="916"/>
      <c r="I401" s="916"/>
      <c r="J401" s="916"/>
      <c r="K401" s="916"/>
    </row>
    <row r="402" spans="8:11" x14ac:dyDescent="0.2">
      <c r="H402" s="916"/>
      <c r="I402" s="916"/>
      <c r="J402" s="916"/>
      <c r="K402" s="916"/>
    </row>
    <row r="403" spans="8:11" x14ac:dyDescent="0.2">
      <c r="H403" s="916"/>
      <c r="I403" s="916"/>
      <c r="J403" s="916"/>
      <c r="K403" s="916"/>
    </row>
    <row r="404" spans="8:11" x14ac:dyDescent="0.2">
      <c r="H404" s="916"/>
      <c r="I404" s="916"/>
      <c r="J404" s="916"/>
      <c r="K404" s="916"/>
    </row>
    <row r="405" spans="8:11" x14ac:dyDescent="0.2">
      <c r="H405" s="916"/>
      <c r="I405" s="916"/>
      <c r="J405" s="916"/>
      <c r="K405" s="916"/>
    </row>
    <row r="406" spans="8:11" x14ac:dyDescent="0.2">
      <c r="H406" s="916"/>
      <c r="I406" s="916"/>
      <c r="J406" s="916"/>
      <c r="K406" s="916"/>
    </row>
    <row r="407" spans="8:11" x14ac:dyDescent="0.2">
      <c r="H407" s="916"/>
      <c r="I407" s="916"/>
      <c r="J407" s="916"/>
      <c r="K407" s="916"/>
    </row>
    <row r="408" spans="8:11" x14ac:dyDescent="0.2">
      <c r="H408" s="916"/>
      <c r="I408" s="916"/>
      <c r="J408" s="916"/>
      <c r="K408" s="916"/>
    </row>
    <row r="409" spans="8:11" x14ac:dyDescent="0.2">
      <c r="H409" s="916"/>
      <c r="I409" s="916"/>
      <c r="J409" s="916"/>
      <c r="K409" s="916"/>
    </row>
    <row r="410" spans="8:11" x14ac:dyDescent="0.2">
      <c r="H410" s="916"/>
      <c r="I410" s="916"/>
      <c r="J410" s="916"/>
      <c r="K410" s="916"/>
    </row>
    <row r="411" spans="8:11" x14ac:dyDescent="0.2">
      <c r="H411" s="916"/>
      <c r="I411" s="916"/>
      <c r="J411" s="916"/>
      <c r="K411" s="916"/>
    </row>
    <row r="412" spans="8:11" x14ac:dyDescent="0.2">
      <c r="H412" s="916"/>
      <c r="I412" s="916"/>
      <c r="J412" s="916"/>
      <c r="K412" s="916"/>
    </row>
    <row r="413" spans="8:11" x14ac:dyDescent="0.2">
      <c r="H413" s="916"/>
      <c r="I413" s="916"/>
      <c r="J413" s="916"/>
      <c r="K413" s="916"/>
    </row>
    <row r="414" spans="8:11" x14ac:dyDescent="0.2">
      <c r="H414" s="916"/>
      <c r="I414" s="916"/>
      <c r="J414" s="916"/>
      <c r="K414" s="916"/>
    </row>
    <row r="415" spans="8:11" x14ac:dyDescent="0.2">
      <c r="H415" s="916"/>
      <c r="I415" s="916"/>
      <c r="J415" s="916"/>
      <c r="K415" s="916"/>
    </row>
    <row r="416" spans="8:11" x14ac:dyDescent="0.2">
      <c r="H416" s="916"/>
      <c r="I416" s="916"/>
      <c r="J416" s="916"/>
      <c r="K416" s="916"/>
    </row>
    <row r="417" spans="8:11" x14ac:dyDescent="0.2">
      <c r="H417" s="916"/>
      <c r="I417" s="916"/>
      <c r="J417" s="916"/>
      <c r="K417" s="916"/>
    </row>
    <row r="418" spans="8:11" x14ac:dyDescent="0.2">
      <c r="H418" s="916"/>
      <c r="I418" s="916"/>
      <c r="J418" s="916"/>
      <c r="K418" s="916"/>
    </row>
    <row r="419" spans="8:11" x14ac:dyDescent="0.2">
      <c r="H419" s="916"/>
      <c r="I419" s="916"/>
      <c r="J419" s="916"/>
      <c r="K419" s="916"/>
    </row>
    <row r="420" spans="8:11" x14ac:dyDescent="0.2">
      <c r="H420" s="916"/>
      <c r="I420" s="916"/>
      <c r="J420" s="916"/>
      <c r="K420" s="916"/>
    </row>
    <row r="421" spans="8:11" x14ac:dyDescent="0.2">
      <c r="H421" s="916"/>
      <c r="I421" s="916"/>
      <c r="J421" s="916"/>
      <c r="K421" s="916"/>
    </row>
    <row r="422" spans="8:11" x14ac:dyDescent="0.2">
      <c r="H422" s="916"/>
      <c r="I422" s="916"/>
      <c r="J422" s="916"/>
      <c r="K422" s="916"/>
    </row>
    <row r="423" spans="8:11" x14ac:dyDescent="0.2">
      <c r="H423" s="916"/>
      <c r="I423" s="916"/>
      <c r="J423" s="916"/>
      <c r="K423" s="916"/>
    </row>
    <row r="424" spans="8:11" x14ac:dyDescent="0.2">
      <c r="H424" s="916"/>
      <c r="I424" s="916"/>
      <c r="J424" s="916"/>
      <c r="K424" s="916"/>
    </row>
    <row r="425" spans="8:11" x14ac:dyDescent="0.2">
      <c r="H425" s="916"/>
      <c r="I425" s="916"/>
      <c r="J425" s="916"/>
      <c r="K425" s="916"/>
    </row>
    <row r="426" spans="8:11" x14ac:dyDescent="0.2">
      <c r="H426" s="916"/>
      <c r="I426" s="916"/>
      <c r="J426" s="916"/>
      <c r="K426" s="916"/>
    </row>
    <row r="427" spans="8:11" x14ac:dyDescent="0.2">
      <c r="H427" s="916"/>
      <c r="I427" s="916"/>
      <c r="J427" s="916"/>
      <c r="K427" s="916"/>
    </row>
    <row r="428" spans="8:11" x14ac:dyDescent="0.2">
      <c r="H428" s="916"/>
      <c r="I428" s="916"/>
      <c r="J428" s="916"/>
      <c r="K428" s="916"/>
    </row>
    <row r="429" spans="8:11" x14ac:dyDescent="0.2">
      <c r="H429" s="916"/>
      <c r="I429" s="916"/>
      <c r="J429" s="916"/>
      <c r="K429" s="916"/>
    </row>
    <row r="430" spans="8:11" x14ac:dyDescent="0.2">
      <c r="H430" s="916"/>
      <c r="I430" s="916"/>
      <c r="J430" s="916"/>
      <c r="K430" s="916"/>
    </row>
    <row r="431" spans="8:11" x14ac:dyDescent="0.2">
      <c r="H431" s="916"/>
      <c r="I431" s="916"/>
      <c r="J431" s="916"/>
      <c r="K431" s="916"/>
    </row>
    <row r="432" spans="8:11" x14ac:dyDescent="0.2">
      <c r="H432" s="916"/>
      <c r="I432" s="916"/>
      <c r="J432" s="916"/>
      <c r="K432" s="916"/>
    </row>
    <row r="433" spans="8:11" x14ac:dyDescent="0.2">
      <c r="H433" s="916"/>
      <c r="I433" s="916"/>
      <c r="J433" s="916"/>
      <c r="K433" s="916"/>
    </row>
    <row r="434" spans="8:11" x14ac:dyDescent="0.2">
      <c r="H434" s="916"/>
      <c r="I434" s="916"/>
      <c r="J434" s="916"/>
      <c r="K434" s="916"/>
    </row>
    <row r="435" spans="8:11" x14ac:dyDescent="0.2">
      <c r="H435" s="916"/>
      <c r="I435" s="916"/>
      <c r="J435" s="916"/>
      <c r="K435" s="916"/>
    </row>
    <row r="436" spans="8:11" x14ac:dyDescent="0.2">
      <c r="H436" s="916"/>
      <c r="I436" s="916"/>
      <c r="J436" s="916"/>
      <c r="K436" s="916"/>
    </row>
    <row r="437" spans="8:11" x14ac:dyDescent="0.2">
      <c r="H437" s="916"/>
      <c r="I437" s="916"/>
      <c r="J437" s="916"/>
      <c r="K437" s="916"/>
    </row>
    <row r="438" spans="8:11" x14ac:dyDescent="0.2">
      <c r="H438" s="916"/>
      <c r="I438" s="916"/>
      <c r="J438" s="916"/>
      <c r="K438" s="916"/>
    </row>
    <row r="439" spans="8:11" x14ac:dyDescent="0.2">
      <c r="H439" s="916"/>
      <c r="I439" s="916"/>
      <c r="J439" s="916"/>
      <c r="K439" s="916"/>
    </row>
    <row r="440" spans="8:11" x14ac:dyDescent="0.2">
      <c r="H440" s="916"/>
      <c r="I440" s="916"/>
      <c r="J440" s="916"/>
      <c r="K440" s="916"/>
    </row>
    <row r="441" spans="8:11" x14ac:dyDescent="0.2">
      <c r="H441" s="916"/>
      <c r="I441" s="916"/>
      <c r="J441" s="916"/>
      <c r="K441" s="916"/>
    </row>
    <row r="442" spans="8:11" x14ac:dyDescent="0.2">
      <c r="H442" s="916"/>
      <c r="I442" s="916"/>
      <c r="J442" s="916"/>
      <c r="K442" s="916"/>
    </row>
    <row r="443" spans="8:11" x14ac:dyDescent="0.2">
      <c r="H443" s="916"/>
      <c r="I443" s="916"/>
      <c r="J443" s="916"/>
      <c r="K443" s="916"/>
    </row>
    <row r="444" spans="8:11" x14ac:dyDescent="0.2">
      <c r="H444" s="916"/>
      <c r="I444" s="916"/>
      <c r="J444" s="916"/>
      <c r="K444" s="916"/>
    </row>
    <row r="445" spans="8:11" x14ac:dyDescent="0.2">
      <c r="H445" s="916"/>
      <c r="I445" s="916"/>
      <c r="J445" s="916"/>
      <c r="K445" s="916"/>
    </row>
    <row r="446" spans="8:11" x14ac:dyDescent="0.2">
      <c r="H446" s="916"/>
      <c r="I446" s="916"/>
      <c r="J446" s="916"/>
      <c r="K446" s="916"/>
    </row>
    <row r="447" spans="8:11" x14ac:dyDescent="0.2">
      <c r="H447" s="916"/>
      <c r="I447" s="916"/>
      <c r="J447" s="916"/>
      <c r="K447" s="916"/>
    </row>
    <row r="448" spans="8:11" x14ac:dyDescent="0.2">
      <c r="H448" s="916"/>
      <c r="I448" s="916"/>
      <c r="J448" s="916"/>
      <c r="K448" s="916"/>
    </row>
    <row r="449" spans="8:11" x14ac:dyDescent="0.2">
      <c r="H449" s="916"/>
      <c r="I449" s="916"/>
      <c r="J449" s="916"/>
      <c r="K449" s="916"/>
    </row>
    <row r="450" spans="8:11" x14ac:dyDescent="0.2">
      <c r="H450" s="916"/>
      <c r="I450" s="916"/>
      <c r="J450" s="916"/>
      <c r="K450" s="916"/>
    </row>
    <row r="451" spans="8:11" x14ac:dyDescent="0.2">
      <c r="H451" s="916"/>
      <c r="I451" s="916"/>
      <c r="J451" s="916"/>
      <c r="K451" s="916"/>
    </row>
    <row r="452" spans="8:11" x14ac:dyDescent="0.2">
      <c r="H452" s="916"/>
      <c r="I452" s="916"/>
      <c r="J452" s="916"/>
      <c r="K452" s="916"/>
    </row>
    <row r="453" spans="8:11" x14ac:dyDescent="0.2">
      <c r="H453" s="916"/>
      <c r="I453" s="916"/>
      <c r="J453" s="916"/>
      <c r="K453" s="916"/>
    </row>
    <row r="454" spans="8:11" x14ac:dyDescent="0.2">
      <c r="H454" s="916"/>
      <c r="I454" s="916"/>
      <c r="J454" s="916"/>
      <c r="K454" s="916"/>
    </row>
    <row r="455" spans="8:11" x14ac:dyDescent="0.2">
      <c r="H455" s="916"/>
      <c r="I455" s="916"/>
      <c r="J455" s="916"/>
      <c r="K455" s="916"/>
    </row>
    <row r="456" spans="8:11" x14ac:dyDescent="0.2">
      <c r="H456" s="916"/>
      <c r="I456" s="916"/>
      <c r="J456" s="916"/>
      <c r="K456" s="916"/>
    </row>
    <row r="457" spans="8:11" x14ac:dyDescent="0.2">
      <c r="H457" s="916"/>
      <c r="I457" s="916"/>
      <c r="J457" s="916"/>
      <c r="K457" s="916"/>
    </row>
    <row r="458" spans="8:11" x14ac:dyDescent="0.2">
      <c r="H458" s="916"/>
      <c r="I458" s="916"/>
      <c r="J458" s="916"/>
      <c r="K458" s="916"/>
    </row>
    <row r="459" spans="8:11" x14ac:dyDescent="0.2">
      <c r="H459" s="916"/>
      <c r="I459" s="916"/>
      <c r="J459" s="916"/>
      <c r="K459" s="916"/>
    </row>
    <row r="460" spans="8:11" x14ac:dyDescent="0.2">
      <c r="H460" s="916"/>
      <c r="I460" s="916"/>
      <c r="J460" s="916"/>
      <c r="K460" s="916"/>
    </row>
    <row r="461" spans="8:11" x14ac:dyDescent="0.2">
      <c r="H461" s="916"/>
      <c r="I461" s="916"/>
      <c r="J461" s="916"/>
      <c r="K461" s="916"/>
    </row>
  </sheetData>
  <mergeCells count="5">
    <mergeCell ref="I2:I3"/>
    <mergeCell ref="B39:C39"/>
    <mergeCell ref="B40:C40"/>
    <mergeCell ref="B42:D42"/>
    <mergeCell ref="B80:E8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3"/>
  <sheetViews>
    <sheetView topLeftCell="A28" workbookViewId="0">
      <selection activeCell="M93" sqref="M93"/>
    </sheetView>
  </sheetViews>
  <sheetFormatPr defaultRowHeight="15" x14ac:dyDescent="0.25"/>
  <cols>
    <col min="1" max="1" width="7.7109375" customWidth="1"/>
    <col min="9" max="9" width="13.28515625" customWidth="1"/>
  </cols>
  <sheetData>
    <row r="1" spans="1:11" x14ac:dyDescent="0.25">
      <c r="G1" s="79"/>
      <c r="H1" s="306" t="s">
        <v>113</v>
      </c>
      <c r="I1" s="81"/>
    </row>
    <row r="2" spans="1:11" x14ac:dyDescent="0.25">
      <c r="B2" s="1890"/>
      <c r="C2" s="1890"/>
      <c r="D2" s="1890"/>
      <c r="G2" s="307" t="s">
        <v>261</v>
      </c>
      <c r="H2" s="83"/>
      <c r="I2" s="84">
        <v>4.5</v>
      </c>
    </row>
    <row r="3" spans="1:11" x14ac:dyDescent="0.25">
      <c r="G3" s="82" t="s">
        <v>262</v>
      </c>
      <c r="H3" s="83"/>
      <c r="I3" s="84">
        <v>3</v>
      </c>
    </row>
    <row r="4" spans="1:11" x14ac:dyDescent="0.25">
      <c r="G4" s="82" t="s">
        <v>263</v>
      </c>
      <c r="H4" s="83"/>
      <c r="I4" s="84">
        <v>6</v>
      </c>
    </row>
    <row r="5" spans="1:11" x14ac:dyDescent="0.25">
      <c r="G5" s="307" t="s">
        <v>265</v>
      </c>
      <c r="H5" s="83"/>
      <c r="I5" s="308">
        <f>Design!F26</f>
        <v>2118</v>
      </c>
      <c r="J5" s="204" t="s">
        <v>135</v>
      </c>
      <c r="K5" s="204" t="s">
        <v>264</v>
      </c>
    </row>
    <row r="6" spans="1:11" x14ac:dyDescent="0.25">
      <c r="G6" s="309" t="s">
        <v>266</v>
      </c>
      <c r="H6" s="86"/>
      <c r="I6" s="310" t="s">
        <v>313</v>
      </c>
      <c r="J6" s="204">
        <v>200</v>
      </c>
      <c r="K6" s="204">
        <v>100</v>
      </c>
    </row>
    <row r="7" spans="1:11" ht="15.75" x14ac:dyDescent="0.25">
      <c r="B7" s="382"/>
      <c r="C7" s="383"/>
      <c r="D7" s="384"/>
      <c r="F7" s="385"/>
      <c r="G7" s="385"/>
    </row>
    <row r="10" spans="1:11" x14ac:dyDescent="0.25">
      <c r="C10" s="97" t="str">
        <f>Design!B1</f>
        <v>CPWS SCHEME TO                                                                                                       DISTRICT</v>
      </c>
    </row>
    <row r="13" spans="1:11" x14ac:dyDescent="0.25">
      <c r="A13" t="s">
        <v>268</v>
      </c>
      <c r="C13" s="102">
        <v>0.1</v>
      </c>
      <c r="G13" s="90"/>
      <c r="H13" s="90"/>
      <c r="I13" s="90"/>
    </row>
    <row r="14" spans="1:11" x14ac:dyDescent="0.25">
      <c r="G14" s="90"/>
      <c r="H14" s="90"/>
      <c r="I14" s="90"/>
    </row>
    <row r="15" spans="1:11" x14ac:dyDescent="0.25">
      <c r="A15" s="317" t="s">
        <v>269</v>
      </c>
      <c r="B15" s="317"/>
      <c r="C15" s="318">
        <v>3.6</v>
      </c>
      <c r="G15" s="90"/>
      <c r="H15" s="90"/>
      <c r="I15" s="90"/>
    </row>
    <row r="16" spans="1:11" x14ac:dyDescent="0.25">
      <c r="G16" s="90"/>
      <c r="H16" s="90"/>
      <c r="I16" s="90"/>
    </row>
    <row r="17" spans="1:10" x14ac:dyDescent="0.25">
      <c r="A17" s="113" t="s">
        <v>270</v>
      </c>
      <c r="C17" s="102">
        <v>0.1</v>
      </c>
    </row>
    <row r="21" spans="1:10" x14ac:dyDescent="0.25">
      <c r="A21" s="105"/>
      <c r="C21" s="102"/>
      <c r="D21" s="119"/>
      <c r="E21" s="109">
        <f>+(E29+2*C32+0.3)</f>
        <v>5.2</v>
      </c>
      <c r="F21" s="119"/>
    </row>
    <row r="22" spans="1:10" x14ac:dyDescent="0.25">
      <c r="A22" s="113" t="s">
        <v>314</v>
      </c>
      <c r="C22" s="114">
        <v>0.2</v>
      </c>
      <c r="D22" s="119"/>
      <c r="E22" s="119"/>
      <c r="F22" s="119"/>
      <c r="G22" s="114" t="s">
        <v>315</v>
      </c>
      <c r="H22" s="386">
        <f>+I3</f>
        <v>3</v>
      </c>
    </row>
    <row r="23" spans="1:10" x14ac:dyDescent="0.25">
      <c r="D23" s="179"/>
      <c r="E23" s="119"/>
      <c r="F23" s="119"/>
      <c r="G23" s="119"/>
      <c r="H23" s="119"/>
      <c r="J23" s="154">
        <v>0.25</v>
      </c>
    </row>
    <row r="24" spans="1:10" x14ac:dyDescent="0.25">
      <c r="C24" s="119"/>
      <c r="D24" s="119"/>
      <c r="E24" s="119"/>
      <c r="F24" s="119"/>
      <c r="G24" s="119"/>
      <c r="H24" s="119"/>
    </row>
    <row r="25" spans="1:10" x14ac:dyDescent="0.25">
      <c r="A25" s="387" t="s">
        <v>272</v>
      </c>
      <c r="B25" s="387"/>
      <c r="C25" s="388">
        <f>'SS Tank'!I9</f>
        <v>4.5999999999999996</v>
      </c>
      <c r="D25" s="119"/>
      <c r="E25" s="119"/>
      <c r="F25" s="119"/>
      <c r="G25" s="119"/>
      <c r="H25" s="119"/>
    </row>
    <row r="26" spans="1:10" x14ac:dyDescent="0.25">
      <c r="C26" s="119"/>
      <c r="D26" s="119"/>
      <c r="E26" s="119"/>
      <c r="F26" s="389"/>
      <c r="G26" s="119"/>
      <c r="H26" s="119"/>
    </row>
    <row r="27" spans="1:10" x14ac:dyDescent="0.25">
      <c r="C27" s="119"/>
      <c r="D27" s="119"/>
      <c r="E27" s="119"/>
      <c r="F27" s="119"/>
      <c r="G27" s="119"/>
      <c r="H27" s="119"/>
    </row>
    <row r="28" spans="1:10" x14ac:dyDescent="0.25">
      <c r="C28" s="119"/>
      <c r="D28" s="119"/>
      <c r="E28" s="119"/>
      <c r="F28" s="119"/>
      <c r="G28" s="119"/>
      <c r="H28" s="119"/>
    </row>
    <row r="29" spans="1:10" x14ac:dyDescent="0.25">
      <c r="A29" s="387" t="s">
        <v>273</v>
      </c>
      <c r="B29" s="387"/>
      <c r="C29" s="390">
        <f>+ROUNDUP((C25*0.4)/0.25,0)*0.25</f>
        <v>2</v>
      </c>
      <c r="D29" s="119"/>
      <c r="E29" s="109">
        <f>I2</f>
        <v>4.5</v>
      </c>
      <c r="F29" s="119"/>
      <c r="G29" s="119"/>
      <c r="H29" s="119"/>
    </row>
    <row r="30" spans="1:10" x14ac:dyDescent="0.25">
      <c r="C30" s="119"/>
      <c r="D30" s="119"/>
      <c r="E30" s="119"/>
      <c r="F30" s="119"/>
      <c r="G30" s="119"/>
      <c r="H30" s="119"/>
    </row>
    <row r="31" spans="1:10" x14ac:dyDescent="0.25">
      <c r="C31" s="119"/>
      <c r="D31" s="119"/>
      <c r="E31" s="119"/>
      <c r="F31" s="119"/>
      <c r="G31" s="119"/>
      <c r="H31" s="119"/>
    </row>
    <row r="32" spans="1:10" x14ac:dyDescent="0.25">
      <c r="A32" t="s">
        <v>274</v>
      </c>
      <c r="C32" s="390">
        <v>0.2</v>
      </c>
      <c r="D32" s="119"/>
      <c r="E32" s="119"/>
      <c r="F32" s="119"/>
      <c r="G32" s="119"/>
      <c r="H32" s="119"/>
    </row>
    <row r="33" spans="1:9" x14ac:dyDescent="0.25">
      <c r="C33" s="119"/>
      <c r="D33" s="119"/>
      <c r="E33" s="119"/>
      <c r="F33" s="167">
        <v>0.75</v>
      </c>
      <c r="G33" s="119"/>
      <c r="H33" s="119"/>
    </row>
    <row r="34" spans="1:9" x14ac:dyDescent="0.25">
      <c r="C34" s="114" t="s">
        <v>122</v>
      </c>
      <c r="D34" s="119"/>
      <c r="E34" s="119"/>
      <c r="F34" s="119"/>
      <c r="G34" s="119"/>
      <c r="H34" s="119"/>
    </row>
    <row r="35" spans="1:9" x14ac:dyDescent="0.25">
      <c r="C35" s="108">
        <v>0.45</v>
      </c>
      <c r="D35" s="114" t="s">
        <v>122</v>
      </c>
      <c r="E35" s="119"/>
      <c r="F35" s="119"/>
      <c r="G35" s="119"/>
      <c r="H35" s="119"/>
    </row>
    <row r="36" spans="1:9" x14ac:dyDescent="0.25">
      <c r="C36" s="109"/>
      <c r="D36" s="119"/>
      <c r="E36" s="119"/>
      <c r="F36" s="119"/>
      <c r="G36" s="113" t="s">
        <v>275</v>
      </c>
      <c r="H36" s="109">
        <v>0.2</v>
      </c>
    </row>
    <row r="37" spans="1:9" x14ac:dyDescent="0.25">
      <c r="C37" s="119"/>
      <c r="D37" s="114"/>
      <c r="E37" s="102">
        <f>+D60</f>
        <v>6.4</v>
      </c>
      <c r="F37" s="119"/>
      <c r="G37" s="391" t="s">
        <v>124</v>
      </c>
      <c r="H37" s="109">
        <v>0.3</v>
      </c>
    </row>
    <row r="38" spans="1:9" x14ac:dyDescent="0.25">
      <c r="C38" s="119"/>
      <c r="D38" s="119"/>
      <c r="E38" s="119"/>
      <c r="F38" s="389"/>
      <c r="G38" s="391" t="s">
        <v>276</v>
      </c>
      <c r="H38" s="109">
        <v>0.3</v>
      </c>
    </row>
    <row r="39" spans="1:9" x14ac:dyDescent="0.25">
      <c r="C39" s="392" t="s">
        <v>277</v>
      </c>
      <c r="D39" s="393"/>
      <c r="E39" s="393"/>
      <c r="F39" s="394" t="s">
        <v>206</v>
      </c>
      <c r="G39" s="113"/>
      <c r="H39" s="113"/>
    </row>
    <row r="40" spans="1:9" x14ac:dyDescent="0.25">
      <c r="C40" s="113"/>
      <c r="D40" s="113"/>
      <c r="E40" s="113"/>
      <c r="F40" s="113"/>
      <c r="G40" s="113"/>
      <c r="H40" s="113"/>
    </row>
    <row r="42" spans="1:9" x14ac:dyDescent="0.25">
      <c r="A42" t="s">
        <v>127</v>
      </c>
      <c r="C42" s="105" t="s">
        <v>278</v>
      </c>
    </row>
    <row r="43" spans="1:9" x14ac:dyDescent="0.25">
      <c r="A43" t="s">
        <v>129</v>
      </c>
      <c r="C43" t="s">
        <v>130</v>
      </c>
    </row>
    <row r="44" spans="1:9" x14ac:dyDescent="0.25">
      <c r="A44" s="105" t="s">
        <v>131</v>
      </c>
    </row>
    <row r="45" spans="1:9" x14ac:dyDescent="0.25">
      <c r="A45" s="105" t="s">
        <v>279</v>
      </c>
    </row>
    <row r="47" spans="1:9" x14ac:dyDescent="0.25">
      <c r="A47" s="135" t="s">
        <v>280</v>
      </c>
      <c r="B47" s="135"/>
      <c r="C47" s="135"/>
      <c r="D47" s="135"/>
      <c r="E47" s="135"/>
      <c r="F47" s="135"/>
      <c r="G47" s="135"/>
      <c r="H47" s="135"/>
      <c r="I47" s="135"/>
    </row>
    <row r="48" spans="1:9" x14ac:dyDescent="0.25">
      <c r="A48" s="90"/>
      <c r="B48" s="395" t="s">
        <v>316</v>
      </c>
      <c r="C48" s="90"/>
      <c r="D48" s="90"/>
      <c r="E48" s="90"/>
      <c r="F48" s="90"/>
      <c r="G48" s="100"/>
      <c r="H48" s="100" t="str">
        <f>+F39</f>
        <v>SSTank</v>
      </c>
      <c r="I48" s="90"/>
    </row>
    <row r="49" spans="1:9" x14ac:dyDescent="0.25">
      <c r="A49" s="90"/>
      <c r="B49" s="100" t="str">
        <f>+C10</f>
        <v>CPWS SCHEME TO                                                                                                       DISTRICT</v>
      </c>
      <c r="C49" s="90"/>
      <c r="D49" s="90"/>
      <c r="E49" s="90"/>
      <c r="F49" s="90"/>
      <c r="G49" s="174" t="s">
        <v>282</v>
      </c>
      <c r="H49" s="396">
        <f>+I103/100000</f>
        <v>11.5</v>
      </c>
      <c r="I49" s="100" t="s">
        <v>283</v>
      </c>
    </row>
    <row r="50" spans="1:9" ht="15.75" x14ac:dyDescent="0.25">
      <c r="A50" s="397" t="s">
        <v>137</v>
      </c>
      <c r="B50" s="2111" t="s">
        <v>284</v>
      </c>
      <c r="C50" s="2112"/>
      <c r="D50" s="2112"/>
      <c r="E50" s="2112"/>
      <c r="F50" s="2112"/>
      <c r="G50" s="398" t="s">
        <v>139</v>
      </c>
      <c r="H50" s="399" t="s">
        <v>140</v>
      </c>
      <c r="I50" s="399" t="s">
        <v>141</v>
      </c>
    </row>
    <row r="51" spans="1:9" x14ac:dyDescent="0.25">
      <c r="A51" s="90"/>
      <c r="B51" s="400"/>
      <c r="C51" s="400"/>
      <c r="D51" s="400"/>
      <c r="E51" s="90"/>
      <c r="F51" s="90"/>
      <c r="G51" s="90"/>
      <c r="H51" s="90"/>
      <c r="I51" s="90"/>
    </row>
    <row r="52" spans="1:9" x14ac:dyDescent="0.25">
      <c r="A52" s="90"/>
      <c r="B52" s="90"/>
      <c r="C52" s="90"/>
      <c r="D52" s="90"/>
      <c r="E52" s="90"/>
      <c r="F52" s="90"/>
      <c r="G52" s="90"/>
      <c r="H52" s="90"/>
      <c r="I52" s="90"/>
    </row>
    <row r="53" spans="1:9" ht="30" customHeight="1" x14ac:dyDescent="0.25">
      <c r="A53" s="146">
        <v>1</v>
      </c>
      <c r="B53" s="2094" t="s">
        <v>142</v>
      </c>
      <c r="C53" s="2093"/>
      <c r="D53" s="2093"/>
      <c r="E53" s="2093"/>
      <c r="F53" s="90"/>
      <c r="G53" s="90"/>
      <c r="H53" s="90"/>
      <c r="I53" s="90"/>
    </row>
    <row r="54" spans="1:9" x14ac:dyDescent="0.25">
      <c r="A54" s="375"/>
      <c r="B54" s="401" t="s">
        <v>317</v>
      </c>
      <c r="C54" s="148" t="s">
        <v>143</v>
      </c>
      <c r="D54" s="150">
        <f>+$E$29+2*$C$32+2*$F$33+2*0.6</f>
        <v>7.6000000000000005</v>
      </c>
      <c r="E54" s="150">
        <f>+D54</f>
        <v>7.6000000000000005</v>
      </c>
      <c r="F54" s="150">
        <f>RAM!S111</f>
        <v>3</v>
      </c>
      <c r="G54" s="150">
        <f>+ROUND((22/28)*D54*E54*F54,2)</f>
        <v>136.15</v>
      </c>
      <c r="H54" s="150">
        <f>Data!I12</f>
        <v>158.80000000000001</v>
      </c>
      <c r="I54" s="152">
        <f>+ROUND(H54*G54,0)</f>
        <v>21621</v>
      </c>
    </row>
    <row r="55" spans="1:9" x14ac:dyDescent="0.25">
      <c r="A55" s="375"/>
      <c r="B55" s="401" t="s">
        <v>318</v>
      </c>
      <c r="C55" s="148" t="s">
        <v>143</v>
      </c>
      <c r="D55" s="150">
        <f>+D54</f>
        <v>7.6000000000000005</v>
      </c>
      <c r="E55" s="150">
        <f>+E54</f>
        <v>7.6000000000000005</v>
      </c>
      <c r="F55" s="150">
        <f>RAM!R112</f>
        <v>0.25</v>
      </c>
      <c r="G55" s="150">
        <f>+ROUND((22/28)*D55*E55*F55,2)</f>
        <v>11.35</v>
      </c>
      <c r="H55" s="150">
        <f>Data!I18</f>
        <v>204.2</v>
      </c>
      <c r="I55" s="152">
        <f>+ROUND(H55*G55,0)</f>
        <v>2318</v>
      </c>
    </row>
    <row r="56" spans="1:9" x14ac:dyDescent="0.25">
      <c r="A56" s="375"/>
      <c r="B56" s="401" t="s">
        <v>318</v>
      </c>
      <c r="C56" s="148" t="s">
        <v>143</v>
      </c>
      <c r="D56" s="150">
        <f>+D55</f>
        <v>7.6000000000000005</v>
      </c>
      <c r="E56" s="150">
        <f>+E55</f>
        <v>7.6000000000000005</v>
      </c>
      <c r="F56" s="150">
        <f>RAM!R113</f>
        <v>0</v>
      </c>
      <c r="G56" s="150">
        <f>+ROUND((22/28)*D56*E56*F56,2)</f>
        <v>0</v>
      </c>
      <c r="H56" s="150">
        <f>Data!I23</f>
        <v>272.2</v>
      </c>
      <c r="I56" s="152">
        <f>+ROUND(H56*G56,0)</f>
        <v>0</v>
      </c>
    </row>
    <row r="57" spans="1:9" ht="42" customHeight="1" x14ac:dyDescent="0.25">
      <c r="A57" s="146">
        <v>2</v>
      </c>
      <c r="B57" s="2094" t="s">
        <v>145</v>
      </c>
      <c r="C57" s="2093"/>
      <c r="D57" s="2093"/>
      <c r="E57" s="2093"/>
      <c r="F57" s="90"/>
      <c r="G57" s="90"/>
      <c r="H57" s="90"/>
      <c r="I57" s="90"/>
    </row>
    <row r="58" spans="1:9" x14ac:dyDescent="0.25">
      <c r="A58" s="375"/>
      <c r="B58" s="147"/>
      <c r="C58" s="90"/>
      <c r="D58" s="148" t="s">
        <v>143</v>
      </c>
      <c r="E58" s="150">
        <f>+$E$29+2*$C$32+2*$F$33</f>
        <v>6.4</v>
      </c>
      <c r="F58" s="150">
        <f>+H38</f>
        <v>0.3</v>
      </c>
      <c r="G58" s="150">
        <f>+ROUND((0.785714285714286)*E58*E58*F58,2)</f>
        <v>9.65</v>
      </c>
      <c r="H58" s="150">
        <f>Data!I30</f>
        <v>937.7</v>
      </c>
      <c r="I58" s="152">
        <f>+ROUND(H58*G58,0)</f>
        <v>9049</v>
      </c>
    </row>
    <row r="59" spans="1:9" ht="43.5" customHeight="1" x14ac:dyDescent="0.25">
      <c r="A59" s="146">
        <v>3</v>
      </c>
      <c r="B59" s="2094" t="s">
        <v>144</v>
      </c>
      <c r="C59" s="2093"/>
      <c r="D59" s="2093"/>
      <c r="E59" s="2093"/>
      <c r="F59" s="150"/>
      <c r="G59" s="150"/>
      <c r="H59" s="150"/>
      <c r="I59" s="152"/>
    </row>
    <row r="60" spans="1:9" x14ac:dyDescent="0.25">
      <c r="A60" s="146"/>
      <c r="B60" s="147"/>
      <c r="C60" s="148" t="s">
        <v>143</v>
      </c>
      <c r="D60" s="150">
        <f>+$E$29+2*$C$32+2*$F$33</f>
        <v>6.4</v>
      </c>
      <c r="E60" s="150">
        <f>+D60</f>
        <v>6.4</v>
      </c>
      <c r="F60" s="150">
        <f>+H37</f>
        <v>0.3</v>
      </c>
      <c r="G60" s="150">
        <f>+(22/28)*D60*E60*F60</f>
        <v>9.6548571428571428</v>
      </c>
      <c r="H60" s="150">
        <f>Data!I44</f>
        <v>4470.5</v>
      </c>
      <c r="I60" s="152">
        <f>+ROUND(H60*G60,0)</f>
        <v>43162</v>
      </c>
    </row>
    <row r="61" spans="1:9" ht="54.75" customHeight="1" x14ac:dyDescent="0.25">
      <c r="A61" s="146">
        <v>4</v>
      </c>
      <c r="B61" s="2094" t="s">
        <v>292</v>
      </c>
      <c r="C61" s="2093"/>
      <c r="D61" s="2093"/>
      <c r="E61" s="2093"/>
      <c r="F61" s="90"/>
      <c r="G61" s="90"/>
      <c r="H61" s="90"/>
      <c r="I61" s="90"/>
    </row>
    <row r="62" spans="1:9" x14ac:dyDescent="0.25">
      <c r="A62" s="375"/>
      <c r="B62" s="170"/>
      <c r="C62" s="148" t="s">
        <v>143</v>
      </c>
      <c r="D62" s="150">
        <f>+$E$29+2*$C$32+2*$F$33</f>
        <v>6.4</v>
      </c>
      <c r="E62" s="150">
        <f>+D62</f>
        <v>6.4</v>
      </c>
      <c r="F62" s="150">
        <f>+H36</f>
        <v>0.2</v>
      </c>
      <c r="G62" s="150">
        <f>+(22/28)*D62*E62*F62</f>
        <v>6.4365714285714297</v>
      </c>
      <c r="H62" s="150">
        <f>Data!I59</f>
        <v>5442.3</v>
      </c>
      <c r="I62" s="152">
        <f>+ROUND(H62*G62,0)</f>
        <v>35030</v>
      </c>
    </row>
    <row r="63" spans="1:9" ht="54.75" customHeight="1" x14ac:dyDescent="0.25">
      <c r="A63" s="146">
        <v>5</v>
      </c>
      <c r="B63" s="2092" t="s">
        <v>293</v>
      </c>
      <c r="C63" s="2093"/>
      <c r="D63" s="2093"/>
      <c r="E63" s="2093"/>
      <c r="F63" s="90"/>
      <c r="G63" s="90"/>
      <c r="H63" s="90"/>
      <c r="I63" s="90"/>
    </row>
    <row r="64" spans="1:9" x14ac:dyDescent="0.25">
      <c r="A64" s="375"/>
      <c r="B64" s="90"/>
      <c r="C64" s="153" t="s">
        <v>147</v>
      </c>
      <c r="D64" s="150">
        <f>+E29+C32</f>
        <v>4.7</v>
      </c>
      <c r="E64" s="150">
        <f>+C35</f>
        <v>0.45</v>
      </c>
      <c r="F64" s="150">
        <f>+(C32+2*F33)</f>
        <v>1.7</v>
      </c>
      <c r="G64" s="150">
        <f>+(22/7)*D64*E64*F64</f>
        <v>11.300142857142857</v>
      </c>
      <c r="H64" s="150">
        <f>Data!I555</f>
        <v>10975</v>
      </c>
      <c r="I64" s="152">
        <f>+ROUND(H64*G64,0)</f>
        <v>124019</v>
      </c>
    </row>
    <row r="65" spans="1:9" ht="70.5" customHeight="1" x14ac:dyDescent="0.25">
      <c r="A65" s="146">
        <v>6</v>
      </c>
      <c r="B65" s="2092" t="s">
        <v>294</v>
      </c>
      <c r="C65" s="2093"/>
      <c r="D65" s="2093"/>
      <c r="E65" s="2093"/>
      <c r="F65" s="150"/>
      <c r="G65" s="150"/>
      <c r="H65" s="150"/>
      <c r="I65" s="90"/>
    </row>
    <row r="66" spans="1:9" x14ac:dyDescent="0.25">
      <c r="A66" s="375"/>
      <c r="B66" s="155" t="s">
        <v>295</v>
      </c>
      <c r="C66" s="153" t="s">
        <v>147</v>
      </c>
      <c r="D66" s="150">
        <f>+E29+C32</f>
        <v>4.7</v>
      </c>
      <c r="E66" s="150">
        <f>+C32</f>
        <v>0.2</v>
      </c>
      <c r="F66" s="402">
        <f>+IF(C25&gt;5,"5.00",C25)</f>
        <v>4.5999999999999996</v>
      </c>
      <c r="G66" s="150">
        <f>+(22/7)*D66*E66*F66</f>
        <v>13.589714285714287</v>
      </c>
      <c r="H66" s="150">
        <f>Data!I572</f>
        <v>15296.7</v>
      </c>
      <c r="I66" s="152">
        <f>+ROUND(H66*G66,0)</f>
        <v>207878</v>
      </c>
    </row>
    <row r="67" spans="1:9" x14ac:dyDescent="0.25">
      <c r="A67" s="375"/>
      <c r="B67" s="155" t="s">
        <v>295</v>
      </c>
      <c r="C67" s="153" t="s">
        <v>147</v>
      </c>
      <c r="D67" s="150">
        <f>+D66</f>
        <v>4.7</v>
      </c>
      <c r="E67" s="150">
        <f>+E66</f>
        <v>0.2</v>
      </c>
      <c r="F67" s="402">
        <f>+IF(C25&lt;=5,0,C25-5)</f>
        <v>0</v>
      </c>
      <c r="G67" s="150">
        <f>+(22/7)*D67*E67*F67</f>
        <v>0</v>
      </c>
      <c r="H67" s="150">
        <f>Data!I580</f>
        <v>19401.400000000001</v>
      </c>
      <c r="I67" s="152">
        <f>+ROUND(H67*G67,0)</f>
        <v>0</v>
      </c>
    </row>
    <row r="68" spans="1:9" x14ac:dyDescent="0.25">
      <c r="A68" s="375"/>
      <c r="B68" s="90" t="s">
        <v>296</v>
      </c>
      <c r="C68" s="153" t="s">
        <v>147</v>
      </c>
      <c r="D68" s="150">
        <f>+D66</f>
        <v>4.7</v>
      </c>
      <c r="E68" s="150">
        <f>+E66</f>
        <v>0.2</v>
      </c>
      <c r="F68" s="150">
        <f>+C29</f>
        <v>2</v>
      </c>
      <c r="G68" s="150">
        <f>+(22/7)*D68*E68*F68</f>
        <v>5.9085714285714293</v>
      </c>
      <c r="H68" s="150">
        <f>Data!I572</f>
        <v>15296.7</v>
      </c>
      <c r="I68" s="152">
        <f>+ROUND(H68*G68,0)</f>
        <v>90382</v>
      </c>
    </row>
    <row r="69" spans="1:9" ht="74.25" customHeight="1" x14ac:dyDescent="0.25">
      <c r="A69" s="146">
        <v>7</v>
      </c>
      <c r="B69" s="2092" t="s">
        <v>297</v>
      </c>
      <c r="C69" s="2093"/>
      <c r="D69" s="2093"/>
      <c r="E69" s="2093"/>
      <c r="F69" s="90"/>
      <c r="G69" s="90"/>
      <c r="H69" s="90"/>
      <c r="I69" s="90"/>
    </row>
    <row r="70" spans="1:9" x14ac:dyDescent="0.25">
      <c r="A70" s="375"/>
      <c r="B70" s="90"/>
      <c r="C70" s="153" t="s">
        <v>147</v>
      </c>
      <c r="D70" s="150">
        <f>+D68</f>
        <v>4.7</v>
      </c>
      <c r="E70" s="150">
        <f>+C17</f>
        <v>0.1</v>
      </c>
      <c r="F70" s="403">
        <f>+C15</f>
        <v>3.6</v>
      </c>
      <c r="G70" s="150">
        <f>+(22/7)*D70*E70*F70</f>
        <v>5.3177142857142865</v>
      </c>
      <c r="H70" s="90"/>
      <c r="I70" s="90"/>
    </row>
    <row r="71" spans="1:9" x14ac:dyDescent="0.25">
      <c r="A71" s="375"/>
      <c r="B71" s="155" t="s">
        <v>298</v>
      </c>
      <c r="C71" s="155" t="s">
        <v>299</v>
      </c>
      <c r="D71" s="152">
        <v>1</v>
      </c>
      <c r="E71" s="150">
        <v>2.1</v>
      </c>
      <c r="F71" s="150">
        <v>1.2</v>
      </c>
      <c r="G71" s="150">
        <f>+E89*F71*0.1*D89</f>
        <v>0</v>
      </c>
      <c r="H71" s="90"/>
      <c r="I71" s="90"/>
    </row>
    <row r="72" spans="1:9" x14ac:dyDescent="0.25">
      <c r="A72" s="375"/>
      <c r="B72" s="155" t="s">
        <v>298</v>
      </c>
      <c r="C72" s="155" t="s">
        <v>300</v>
      </c>
      <c r="D72" s="152">
        <v>2</v>
      </c>
      <c r="E72" s="150">
        <v>0.9</v>
      </c>
      <c r="F72" s="150">
        <v>1.2</v>
      </c>
      <c r="G72" s="150">
        <f>+F72*E90*D90*0.1</f>
        <v>0</v>
      </c>
      <c r="H72" s="90"/>
      <c r="I72" s="90"/>
    </row>
    <row r="73" spans="1:9" x14ac:dyDescent="0.25">
      <c r="A73" s="375"/>
      <c r="B73" s="147"/>
      <c r="C73" s="90"/>
      <c r="D73" s="90"/>
      <c r="E73" s="90"/>
      <c r="F73" s="101" t="s">
        <v>23</v>
      </c>
      <c r="G73" s="150">
        <f>+G70-G71-G72</f>
        <v>5.3177142857142865</v>
      </c>
      <c r="H73" s="150">
        <f>Data!I587</f>
        <v>22010.799999999999</v>
      </c>
      <c r="I73" s="152">
        <f>+ROUND(H73*G73,0)</f>
        <v>117047</v>
      </c>
    </row>
    <row r="74" spans="1:9" ht="75.75" customHeight="1" x14ac:dyDescent="0.25">
      <c r="A74" s="146">
        <v>8</v>
      </c>
      <c r="B74" s="2092" t="str">
        <f>+CONCATENATE("M30 grade concrete using 20 mm HBG metal including cost and conveyance of all the materials,but excluding the cost of the steel etc complete for Pump House Top Slab-",C13,"0 m thick")</f>
        <v>M30 grade concrete using 20 mm HBG metal including cost and conveyance of all the materials,but excluding the cost of the steel etc complete for Pump House Top Slab-0.10 m thick</v>
      </c>
      <c r="C74" s="2093"/>
      <c r="D74" s="2093"/>
      <c r="E74" s="2093"/>
      <c r="F74" s="90"/>
      <c r="G74" s="90"/>
      <c r="H74" s="90"/>
      <c r="I74" s="90"/>
    </row>
    <row r="75" spans="1:9" x14ac:dyDescent="0.25">
      <c r="A75" s="375"/>
      <c r="B75" s="147"/>
      <c r="C75" s="90"/>
      <c r="D75" s="148" t="s">
        <v>143</v>
      </c>
      <c r="E75" s="150">
        <f>+E29+2*C32+2*0.3</f>
        <v>5.5</v>
      </c>
      <c r="F75" s="90"/>
      <c r="G75" s="150">
        <f>+(22/28)*(E75^2)</f>
        <v>23.767857142857142</v>
      </c>
      <c r="H75" s="150">
        <f>Data!I604</f>
        <v>11620.7</v>
      </c>
      <c r="I75" s="152">
        <f>+ROUND(H75*G75*0.1,0)</f>
        <v>27620</v>
      </c>
    </row>
    <row r="76" spans="1:9" ht="64.5" customHeight="1" x14ac:dyDescent="0.25">
      <c r="A76" s="146">
        <v>9</v>
      </c>
      <c r="B76" s="2092" t="str">
        <f>+CONCATENATE("M30 grade concrete using 20 mm HBG metal including cost and conveyance of all the materials,but excluding the cost of the steel etc complete for Pump House Floor Slab-",C22,"0 m thick")</f>
        <v>M30 grade concrete using 20 mm HBG metal including cost and conveyance of all the materials,but excluding the cost of the steel etc complete for Pump House Floor Slab-0.20 m thick</v>
      </c>
      <c r="C76" s="2093"/>
      <c r="D76" s="2093"/>
      <c r="E76" s="2093"/>
      <c r="F76" s="90"/>
      <c r="G76" s="90"/>
      <c r="H76" s="90"/>
      <c r="I76" s="90"/>
    </row>
    <row r="77" spans="1:9" x14ac:dyDescent="0.25">
      <c r="A77" s="375"/>
      <c r="B77" s="90"/>
      <c r="C77" s="90"/>
      <c r="D77" s="148" t="s">
        <v>143</v>
      </c>
      <c r="E77" s="150">
        <f>+E21</f>
        <v>5.2</v>
      </c>
      <c r="F77" s="90"/>
      <c r="G77" s="150">
        <f>+(E77^2*0.785398)</f>
        <v>21.237161920000002</v>
      </c>
      <c r="H77" s="150">
        <f>Data!I595</f>
        <v>16133.7</v>
      </c>
      <c r="I77" s="152">
        <f>+ROUND(H77*G77*0.1,0)</f>
        <v>34263</v>
      </c>
    </row>
    <row r="78" spans="1:9" ht="42" customHeight="1" x14ac:dyDescent="0.25">
      <c r="A78" s="146">
        <v>10</v>
      </c>
      <c r="B78" s="2092" t="s">
        <v>156</v>
      </c>
      <c r="C78" s="2093"/>
      <c r="D78" s="2093"/>
      <c r="E78" s="2093"/>
      <c r="F78" s="90"/>
      <c r="G78" s="90"/>
      <c r="H78" s="90"/>
      <c r="I78" s="90"/>
    </row>
    <row r="79" spans="1:9" x14ac:dyDescent="0.25">
      <c r="A79" s="375"/>
      <c r="B79" s="170"/>
      <c r="C79" s="90"/>
      <c r="D79" s="90"/>
      <c r="E79" s="90"/>
      <c r="F79" s="90"/>
      <c r="G79" s="404">
        <f>+(G64+G66+G68+G73+G75*C13+G77*C22)*0.075</f>
        <v>3.2055270716571433</v>
      </c>
      <c r="H79" s="150">
        <f>Data!H327</f>
        <v>60670.400000000001</v>
      </c>
      <c r="I79" s="152">
        <f>+ROUND(H79*G79,0)</f>
        <v>194481</v>
      </c>
    </row>
    <row r="80" spans="1:9" ht="48" customHeight="1" x14ac:dyDescent="0.25">
      <c r="A80" s="146">
        <v>11</v>
      </c>
      <c r="B80" s="2094" t="s">
        <v>301</v>
      </c>
      <c r="C80" s="2093"/>
      <c r="D80" s="2093"/>
      <c r="E80" s="2093"/>
      <c r="F80" s="90"/>
      <c r="G80" s="90"/>
      <c r="H80" s="90"/>
      <c r="I80" s="90"/>
    </row>
    <row r="81" spans="1:9" x14ac:dyDescent="0.25">
      <c r="A81" s="375"/>
      <c r="B81" s="2092" t="s">
        <v>302</v>
      </c>
      <c r="C81" s="2093"/>
      <c r="D81" s="148" t="s">
        <v>143</v>
      </c>
      <c r="E81" s="150">
        <f>+E21</f>
        <v>5.2</v>
      </c>
      <c r="F81" s="150">
        <f>+E81</f>
        <v>5.2</v>
      </c>
      <c r="G81" s="150">
        <f>+(22/28)*E81*F81</f>
        <v>21.245714285714286</v>
      </c>
      <c r="H81" s="90"/>
      <c r="I81" s="90"/>
    </row>
    <row r="82" spans="1:9" x14ac:dyDescent="0.25">
      <c r="A82" s="375"/>
      <c r="B82" s="2092" t="s">
        <v>303</v>
      </c>
      <c r="C82" s="2093"/>
      <c r="D82" s="148" t="s">
        <v>143</v>
      </c>
      <c r="E82" s="150">
        <f>+E75</f>
        <v>5.5</v>
      </c>
      <c r="F82" s="150">
        <f>+E82</f>
        <v>5.5</v>
      </c>
      <c r="G82" s="150">
        <f>+(22/28)*E82*F82</f>
        <v>23.767857142857142</v>
      </c>
      <c r="H82" s="90"/>
      <c r="I82" s="90"/>
    </row>
    <row r="83" spans="1:9" x14ac:dyDescent="0.25">
      <c r="A83" s="375"/>
      <c r="B83" s="147"/>
      <c r="C83" s="90"/>
      <c r="D83" s="90"/>
      <c r="E83" s="90"/>
      <c r="F83" s="90"/>
      <c r="G83" s="150">
        <f>SUM(G81:G82)</f>
        <v>45.013571428571424</v>
      </c>
      <c r="H83" s="150">
        <f>Data!I233</f>
        <v>2436.1999999999998</v>
      </c>
      <c r="I83" s="152">
        <f>+ROUND(H83*G83*0.1,0)</f>
        <v>10966</v>
      </c>
    </row>
    <row r="84" spans="1:9" ht="51" customHeight="1" x14ac:dyDescent="0.25">
      <c r="A84" s="146">
        <v>12</v>
      </c>
      <c r="B84" s="2094" t="s">
        <v>151</v>
      </c>
      <c r="C84" s="2093"/>
      <c r="D84" s="2093"/>
      <c r="E84" s="2093"/>
      <c r="F84" s="90"/>
      <c r="G84" s="90"/>
      <c r="H84" s="90"/>
      <c r="I84" s="90"/>
    </row>
    <row r="85" spans="1:9" x14ac:dyDescent="0.25">
      <c r="A85" s="375"/>
      <c r="B85" s="2092" t="s">
        <v>304</v>
      </c>
      <c r="C85" s="2093"/>
      <c r="D85" s="153" t="s">
        <v>147</v>
      </c>
      <c r="E85" s="150">
        <f>+$E$29+$C$32-0.1</f>
        <v>4.6000000000000005</v>
      </c>
      <c r="F85" s="90">
        <v>2.7</v>
      </c>
      <c r="G85" s="150">
        <f>+(22/7)*E85*F85</f>
        <v>39.034285714285723</v>
      </c>
      <c r="H85" s="90"/>
      <c r="I85" s="90"/>
    </row>
    <row r="86" spans="1:9" x14ac:dyDescent="0.25">
      <c r="A86" s="375"/>
      <c r="B86" s="2092" t="s">
        <v>305</v>
      </c>
      <c r="C86" s="2093"/>
      <c r="D86" s="153" t="s">
        <v>147</v>
      </c>
      <c r="E86" s="150">
        <f>+$E$29+$C$32+0.1</f>
        <v>4.8</v>
      </c>
      <c r="F86" s="90">
        <f>+F85</f>
        <v>2.7</v>
      </c>
      <c r="G86" s="150">
        <f>+(22/7)*E86*F86</f>
        <v>40.731428571428573</v>
      </c>
      <c r="H86" s="402"/>
      <c r="I86" s="152"/>
    </row>
    <row r="87" spans="1:9" x14ac:dyDescent="0.25">
      <c r="A87" s="375"/>
      <c r="B87" s="155" t="s">
        <v>298</v>
      </c>
      <c r="C87" s="155" t="s">
        <v>299</v>
      </c>
      <c r="D87" s="375">
        <v>1</v>
      </c>
      <c r="E87" s="90">
        <v>1.2</v>
      </c>
      <c r="F87" s="90">
        <v>2.1</v>
      </c>
      <c r="G87" s="90">
        <f>+F87*E87</f>
        <v>2.52</v>
      </c>
      <c r="H87" s="150"/>
      <c r="I87" s="152"/>
    </row>
    <row r="88" spans="1:9" x14ac:dyDescent="0.25">
      <c r="A88" s="375"/>
      <c r="B88" s="155" t="s">
        <v>298</v>
      </c>
      <c r="C88" s="155" t="s">
        <v>300</v>
      </c>
      <c r="D88" s="375">
        <v>2</v>
      </c>
      <c r="E88" s="90">
        <v>0.9</v>
      </c>
      <c r="F88" s="90">
        <v>1.2</v>
      </c>
      <c r="G88" s="90">
        <f>+F88*E88*2</f>
        <v>2.16</v>
      </c>
      <c r="H88" s="150"/>
      <c r="I88" s="152"/>
    </row>
    <row r="89" spans="1:9" x14ac:dyDescent="0.25">
      <c r="A89" s="375"/>
      <c r="B89" s="159"/>
      <c r="C89" s="90"/>
      <c r="D89" s="152"/>
      <c r="E89" s="150"/>
      <c r="F89" s="90"/>
      <c r="G89" s="150">
        <f>+G85+G86-G87-G88</f>
        <v>75.085714285714303</v>
      </c>
      <c r="H89" s="150">
        <f>Data!I670</f>
        <v>1491.9</v>
      </c>
      <c r="I89" s="152">
        <f>+ROUND(H89*G89*0.1,0)</f>
        <v>11202</v>
      </c>
    </row>
    <row r="90" spans="1:9" ht="57" customHeight="1" x14ac:dyDescent="0.25">
      <c r="A90" s="146">
        <v>13</v>
      </c>
      <c r="B90" s="2094" t="s">
        <v>306</v>
      </c>
      <c r="C90" s="2093"/>
      <c r="D90" s="2093"/>
      <c r="E90" s="2093"/>
      <c r="F90" s="90"/>
      <c r="G90" s="90"/>
      <c r="H90" s="150"/>
      <c r="I90" s="152"/>
    </row>
    <row r="91" spans="1:9" x14ac:dyDescent="0.25">
      <c r="A91" s="375"/>
      <c r="B91" s="2092" t="s">
        <v>307</v>
      </c>
      <c r="C91" s="2093"/>
      <c r="D91" s="90"/>
      <c r="E91" s="90"/>
      <c r="F91" s="90"/>
      <c r="G91" s="150">
        <f>+G89</f>
        <v>75.085714285714303</v>
      </c>
      <c r="H91" s="150">
        <f>Data!I315</f>
        <v>1202.7</v>
      </c>
      <c r="I91" s="152">
        <f>+ROUND(H91*G91*0.1,0)</f>
        <v>9031</v>
      </c>
    </row>
    <row r="92" spans="1:9" ht="48" customHeight="1" x14ac:dyDescent="0.25">
      <c r="A92" s="146">
        <v>14</v>
      </c>
      <c r="B92" s="2092" t="s">
        <v>308</v>
      </c>
      <c r="C92" s="2093"/>
      <c r="D92" s="2093"/>
      <c r="E92" s="2093"/>
      <c r="F92" s="90"/>
      <c r="G92" s="90"/>
      <c r="H92" s="90"/>
      <c r="I92" s="90"/>
    </row>
    <row r="93" spans="1:9" x14ac:dyDescent="0.25">
      <c r="A93" s="375"/>
      <c r="B93" s="155" t="s">
        <v>299</v>
      </c>
      <c r="C93" s="90"/>
      <c r="D93" s="90"/>
      <c r="E93" s="90"/>
      <c r="F93" s="101" t="s">
        <v>309</v>
      </c>
      <c r="G93" s="150"/>
      <c r="H93" s="90"/>
      <c r="I93" s="83">
        <v>3500</v>
      </c>
    </row>
    <row r="94" spans="1:9" x14ac:dyDescent="0.25">
      <c r="A94" s="375"/>
      <c r="B94" s="155" t="s">
        <v>300</v>
      </c>
      <c r="C94" s="90"/>
      <c r="D94" s="90"/>
      <c r="E94" s="90"/>
      <c r="F94" s="101" t="s">
        <v>100</v>
      </c>
      <c r="G94" s="150"/>
      <c r="H94" s="90"/>
      <c r="I94" s="405">
        <f>2500*2</f>
        <v>5000</v>
      </c>
    </row>
    <row r="95" spans="1:9" ht="57.75" customHeight="1" x14ac:dyDescent="0.25">
      <c r="A95" s="146">
        <v>15</v>
      </c>
      <c r="B95" s="2092" t="s">
        <v>310</v>
      </c>
      <c r="C95" s="2093"/>
      <c r="D95" s="2093"/>
      <c r="E95" s="2093"/>
      <c r="F95" s="90"/>
      <c r="G95" s="90"/>
      <c r="H95" s="90"/>
      <c r="I95" s="90"/>
    </row>
    <row r="96" spans="1:9" x14ac:dyDescent="0.25">
      <c r="A96" s="375"/>
      <c r="B96" s="2110" t="str">
        <f>+CONCATENATE(+RAM!U112," Dia pipe ","2mt-",RAM!U113," ,0.9mt-",RAM!U114,",0.6mt-",RAM!U115,",Circular Bend-",RAM!U117, ",Duckfoot bend-",RAM!U116)</f>
        <v>300 Dia pipe 2mt-1 ,0.9mt-5,0.6mt-2,Circular Bend-1,Duckfoot bend-1</v>
      </c>
      <c r="C96" s="2110"/>
      <c r="D96" s="2110"/>
      <c r="E96" s="2110"/>
      <c r="F96" s="90"/>
      <c r="G96" s="90"/>
      <c r="H96" s="90"/>
      <c r="I96" s="152">
        <f>ROUND(RAM!V118*1.14,0)</f>
        <v>80982</v>
      </c>
    </row>
    <row r="97" spans="1:12" ht="41.25" customHeight="1" x14ac:dyDescent="0.25">
      <c r="A97" s="146">
        <v>16</v>
      </c>
      <c r="B97" s="2094" t="s">
        <v>311</v>
      </c>
      <c r="C97" s="2093"/>
      <c r="D97" s="2093"/>
      <c r="E97" s="2093"/>
      <c r="F97" s="90"/>
      <c r="G97" s="90"/>
      <c r="H97" s="150"/>
      <c r="I97" s="152"/>
    </row>
    <row r="98" spans="1:12" x14ac:dyDescent="0.25">
      <c r="A98" s="375"/>
      <c r="B98" s="155" t="s">
        <v>299</v>
      </c>
      <c r="C98" s="90"/>
      <c r="D98" s="90"/>
      <c r="E98" s="90"/>
      <c r="F98" s="101" t="s">
        <v>309</v>
      </c>
      <c r="G98" s="90">
        <v>4.7300000000000004</v>
      </c>
      <c r="H98" s="150"/>
      <c r="I98" s="152"/>
    </row>
    <row r="99" spans="1:12" x14ac:dyDescent="0.25">
      <c r="A99" s="375"/>
      <c r="B99" s="155" t="s">
        <v>300</v>
      </c>
      <c r="C99" s="90"/>
      <c r="D99" s="90"/>
      <c r="E99" s="90"/>
      <c r="F99" s="101" t="s">
        <v>100</v>
      </c>
      <c r="G99" s="90">
        <v>5.94</v>
      </c>
      <c r="H99" s="150"/>
      <c r="I99" s="152"/>
    </row>
    <row r="100" spans="1:12" x14ac:dyDescent="0.25">
      <c r="A100" s="375"/>
      <c r="B100" s="147"/>
      <c r="C100" s="90"/>
      <c r="D100" s="90"/>
      <c r="E100" s="90"/>
      <c r="F100" s="90"/>
      <c r="G100" s="90">
        <f>SUM(G98:G99)</f>
        <v>10.670000000000002</v>
      </c>
      <c r="H100" s="150">
        <f>Data!I288</f>
        <v>2209.6999999999998</v>
      </c>
      <c r="I100" s="152">
        <f>+ROUND(H100*G100*0.1,0)</f>
        <v>2358</v>
      </c>
    </row>
    <row r="101" spans="1:12" ht="28.5" customHeight="1" x14ac:dyDescent="0.25">
      <c r="A101" s="375">
        <v>17</v>
      </c>
      <c r="B101" s="406" t="s">
        <v>319</v>
      </c>
      <c r="C101" s="90"/>
      <c r="D101" s="90"/>
      <c r="E101" s="90"/>
      <c r="F101" s="90"/>
      <c r="G101" s="90"/>
      <c r="H101" s="150"/>
      <c r="I101" s="152">
        <v>100000</v>
      </c>
    </row>
    <row r="102" spans="1:12" ht="32.25" customHeight="1" x14ac:dyDescent="0.25">
      <c r="A102" s="146">
        <v>18</v>
      </c>
      <c r="B102" s="2092" t="s">
        <v>312</v>
      </c>
      <c r="C102" s="2093"/>
      <c r="D102" s="2093"/>
      <c r="E102" s="2093"/>
      <c r="F102" s="90"/>
      <c r="G102" s="90"/>
      <c r="H102" s="90"/>
      <c r="I102" s="152">
        <f>+I103-SUM(I48:I101)</f>
        <v>20091</v>
      </c>
      <c r="J102" s="378"/>
    </row>
    <row r="103" spans="1:12" ht="36.75" customHeight="1" x14ac:dyDescent="0.25">
      <c r="A103" s="375"/>
      <c r="B103" s="166"/>
      <c r="C103" s="90"/>
      <c r="D103" s="90"/>
      <c r="E103" s="90"/>
      <c r="F103" s="90"/>
      <c r="G103" s="90"/>
      <c r="H103" s="407" t="s">
        <v>23</v>
      </c>
      <c r="I103" s="165">
        <f>((INT(SUM(I48:I101)*0.00004))*25000)+25000</f>
        <v>1150000</v>
      </c>
      <c r="L103" s="378">
        <f>I103-I102</f>
        <v>1129909</v>
      </c>
    </row>
    <row r="104" spans="1:12" x14ac:dyDescent="0.25">
      <c r="A104" s="375"/>
      <c r="B104" s="90"/>
      <c r="C104" s="90"/>
      <c r="D104" s="90"/>
      <c r="E104" s="90"/>
      <c r="F104" s="90"/>
      <c r="G104" s="90"/>
      <c r="H104" s="90"/>
      <c r="I104" s="90"/>
    </row>
    <row r="105" spans="1:12" x14ac:dyDescent="0.25">
      <c r="A105" s="375"/>
      <c r="B105" s="147"/>
      <c r="C105" s="90"/>
      <c r="D105" s="90"/>
      <c r="E105" s="90"/>
      <c r="F105" s="90"/>
      <c r="G105" s="90"/>
      <c r="H105" s="90"/>
      <c r="I105" s="90"/>
    </row>
    <row r="106" spans="1:12" x14ac:dyDescent="0.25">
      <c r="A106" s="375"/>
      <c r="B106" s="90"/>
      <c r="C106" s="90"/>
      <c r="D106" s="90"/>
      <c r="E106" s="90"/>
      <c r="F106" s="90"/>
      <c r="G106" s="90"/>
      <c r="H106" s="90"/>
      <c r="I106" s="90"/>
    </row>
    <row r="107" spans="1:12" x14ac:dyDescent="0.25">
      <c r="A107" s="375"/>
      <c r="B107" s="90"/>
      <c r="C107" s="90"/>
      <c r="D107" s="90"/>
      <c r="E107" s="90"/>
      <c r="F107" s="90"/>
      <c r="G107" s="90"/>
      <c r="H107" s="90"/>
      <c r="I107" s="90"/>
    </row>
    <row r="108" spans="1:12" x14ac:dyDescent="0.25">
      <c r="A108" s="375"/>
      <c r="B108" s="90"/>
      <c r="C108" s="90"/>
      <c r="D108" s="90"/>
      <c r="E108" s="90"/>
      <c r="F108" s="90"/>
      <c r="G108" s="90"/>
      <c r="H108" s="90"/>
      <c r="I108" s="90"/>
    </row>
    <row r="109" spans="1:12" s="367" customFormat="1" ht="12.75" x14ac:dyDescent="0.2">
      <c r="B109" s="368"/>
      <c r="D109" s="369"/>
      <c r="G109" s="369"/>
      <c r="I109" s="370"/>
      <c r="J109" s="371"/>
    </row>
    <row r="110" spans="1:12" s="367" customFormat="1" ht="12.75" x14ac:dyDescent="0.2">
      <c r="B110" s="368"/>
      <c r="D110" s="369"/>
      <c r="G110" s="369"/>
      <c r="I110" s="369"/>
      <c r="J110" s="371"/>
    </row>
    <row r="111" spans="1:12" s="367" customFormat="1" ht="12.75" x14ac:dyDescent="0.2">
      <c r="B111" s="368"/>
      <c r="C111" s="369"/>
      <c r="D111" s="369"/>
      <c r="E111" s="372"/>
      <c r="F111" s="372"/>
      <c r="G111" s="372"/>
      <c r="H111" s="372"/>
      <c r="I111" s="373"/>
      <c r="J111" s="371"/>
    </row>
    <row r="112" spans="1:12" s="367" customFormat="1" ht="12.75" x14ac:dyDescent="0.2">
      <c r="B112" s="368"/>
      <c r="C112" s="369"/>
      <c r="D112" s="369"/>
      <c r="E112" s="369"/>
      <c r="F112" s="369"/>
      <c r="G112" s="369"/>
      <c r="H112" s="369"/>
      <c r="I112" s="369"/>
      <c r="J112" s="371"/>
    </row>
    <row r="113" spans="1:10" s="367" customFormat="1" ht="12.75" x14ac:dyDescent="0.2">
      <c r="B113" s="374"/>
      <c r="C113" s="369"/>
      <c r="D113" s="369"/>
      <c r="E113" s="372"/>
      <c r="F113" s="372"/>
      <c r="G113" s="368"/>
      <c r="H113" s="372"/>
      <c r="I113" s="369"/>
      <c r="J113" s="371"/>
    </row>
    <row r="114" spans="1:10" s="367" customFormat="1" ht="12.75" x14ac:dyDescent="0.2">
      <c r="B114" s="368"/>
      <c r="C114" s="369"/>
      <c r="D114" s="369"/>
      <c r="E114" s="372"/>
      <c r="F114" s="372"/>
      <c r="G114" s="368"/>
      <c r="H114" s="372"/>
      <c r="I114" s="369"/>
      <c r="J114" s="371"/>
    </row>
    <row r="115" spans="1:10" x14ac:dyDescent="0.25">
      <c r="A115" s="375"/>
      <c r="B115" s="147"/>
      <c r="C115" s="90"/>
      <c r="D115" s="90"/>
      <c r="E115" s="90"/>
      <c r="F115" s="90"/>
      <c r="G115" s="90"/>
      <c r="H115" s="90"/>
      <c r="I115" s="90"/>
    </row>
    <row r="116" spans="1:10" x14ac:dyDescent="0.25">
      <c r="A116" s="375"/>
      <c r="B116" s="147"/>
      <c r="C116" s="90"/>
      <c r="D116" s="90"/>
      <c r="E116" s="90"/>
      <c r="F116" s="90"/>
      <c r="G116" s="90"/>
      <c r="H116" s="90"/>
      <c r="I116" s="90"/>
    </row>
    <row r="117" spans="1:10" x14ac:dyDescent="0.25">
      <c r="A117" s="375"/>
      <c r="B117" s="166"/>
      <c r="C117" s="90"/>
      <c r="D117" s="90"/>
      <c r="E117" s="90"/>
      <c r="F117" s="90"/>
      <c r="G117" s="90"/>
      <c r="H117" s="90"/>
      <c r="I117" s="90"/>
    </row>
    <row r="118" spans="1:10" x14ac:dyDescent="0.25">
      <c r="A118" s="375"/>
      <c r="B118" s="90"/>
      <c r="C118" s="90"/>
      <c r="D118" s="147"/>
      <c r="E118" s="90"/>
      <c r="F118" s="150"/>
      <c r="G118" s="150"/>
      <c r="H118" s="90"/>
      <c r="I118" s="152"/>
    </row>
    <row r="119" spans="1:10" x14ac:dyDescent="0.25">
      <c r="A119" s="375"/>
      <c r="B119" s="90"/>
      <c r="C119" s="90"/>
      <c r="D119" s="147"/>
      <c r="E119" s="90"/>
      <c r="F119" s="90"/>
      <c r="G119" s="90"/>
      <c r="H119" s="90"/>
      <c r="I119" s="90"/>
    </row>
    <row r="120" spans="1:10" x14ac:dyDescent="0.25">
      <c r="A120" s="375"/>
      <c r="B120" s="90"/>
      <c r="C120" s="90"/>
      <c r="D120" s="147"/>
      <c r="E120" s="150"/>
      <c r="F120" s="150"/>
      <c r="G120" s="150"/>
      <c r="H120" s="90"/>
      <c r="I120" s="152"/>
    </row>
    <row r="121" spans="1:10" x14ac:dyDescent="0.25">
      <c r="A121" s="375"/>
      <c r="B121" s="90"/>
      <c r="C121" s="90"/>
      <c r="D121" s="147"/>
      <c r="E121" s="150"/>
      <c r="F121" s="150"/>
      <c r="G121" s="150"/>
      <c r="H121" s="150"/>
      <c r="I121" s="152"/>
    </row>
    <row r="122" spans="1:10" x14ac:dyDescent="0.25">
      <c r="A122" s="375"/>
      <c r="B122" s="90"/>
      <c r="C122" s="90"/>
      <c r="D122" s="147"/>
      <c r="E122" s="150"/>
      <c r="F122" s="150"/>
      <c r="G122" s="150"/>
      <c r="H122" s="90"/>
      <c r="I122" s="90"/>
    </row>
    <row r="123" spans="1:10" x14ac:dyDescent="0.25">
      <c r="A123" s="375"/>
      <c r="B123" s="90"/>
      <c r="C123" s="90"/>
      <c r="D123" s="147"/>
      <c r="E123" s="150"/>
      <c r="F123" s="150"/>
      <c r="G123" s="150"/>
      <c r="H123" s="90"/>
      <c r="I123" s="90"/>
    </row>
    <row r="124" spans="1:10" x14ac:dyDescent="0.25">
      <c r="A124" s="375"/>
      <c r="B124" s="90"/>
      <c r="C124" s="90"/>
      <c r="D124" s="166"/>
      <c r="E124" s="150"/>
      <c r="F124" s="150"/>
      <c r="G124" s="150"/>
      <c r="H124" s="90"/>
      <c r="I124" s="90"/>
    </row>
    <row r="125" spans="1:10" x14ac:dyDescent="0.25">
      <c r="A125" s="375"/>
      <c r="B125" s="90"/>
      <c r="C125" s="90"/>
      <c r="D125" s="147"/>
      <c r="E125" s="150"/>
      <c r="F125" s="150"/>
      <c r="G125" s="150"/>
      <c r="H125" s="90"/>
      <c r="I125" s="90"/>
    </row>
    <row r="126" spans="1:10" x14ac:dyDescent="0.25">
      <c r="A126" s="375"/>
      <c r="B126" s="90"/>
      <c r="C126" s="90"/>
      <c r="D126" s="147"/>
      <c r="E126" s="150"/>
      <c r="F126" s="150"/>
      <c r="G126" s="150"/>
      <c r="H126" s="90"/>
      <c r="I126" s="90"/>
    </row>
    <row r="127" spans="1:10" x14ac:dyDescent="0.25">
      <c r="A127" s="375"/>
      <c r="B127" s="90"/>
      <c r="C127" s="90"/>
      <c r="D127" s="147"/>
      <c r="E127" s="150"/>
      <c r="F127" s="150"/>
      <c r="G127" s="150"/>
      <c r="H127" s="90"/>
      <c r="I127" s="377"/>
    </row>
    <row r="128" spans="1:10" x14ac:dyDescent="0.25">
      <c r="A128" s="375"/>
      <c r="B128" s="100"/>
      <c r="C128" s="90"/>
      <c r="D128" s="147"/>
      <c r="E128" s="150"/>
      <c r="F128" s="150"/>
      <c r="G128" s="150"/>
      <c r="H128" s="90"/>
      <c r="I128" s="376"/>
    </row>
    <row r="129" spans="1:10" x14ac:dyDescent="0.25">
      <c r="A129" s="375"/>
      <c r="B129" s="147"/>
      <c r="C129" s="90"/>
      <c r="D129" s="147"/>
      <c r="E129" s="150"/>
      <c r="F129" s="150"/>
      <c r="G129" s="150"/>
      <c r="H129" s="90"/>
      <c r="I129" s="377"/>
    </row>
    <row r="130" spans="1:10" x14ac:dyDescent="0.25">
      <c r="A130" s="375"/>
      <c r="B130" s="166"/>
      <c r="C130" s="90"/>
      <c r="D130" s="90"/>
      <c r="E130" s="90"/>
      <c r="F130" s="90"/>
      <c r="G130" s="90"/>
      <c r="H130" s="90"/>
      <c r="I130" s="90"/>
      <c r="J130" s="378"/>
    </row>
    <row r="131" spans="1:10" x14ac:dyDescent="0.25">
      <c r="A131" s="375"/>
      <c r="B131" s="166"/>
      <c r="C131" s="90"/>
      <c r="D131" s="90"/>
      <c r="E131" s="90"/>
      <c r="F131" s="90"/>
      <c r="G131" s="90"/>
      <c r="H131" s="90"/>
      <c r="I131" s="90"/>
    </row>
    <row r="132" spans="1:10" x14ac:dyDescent="0.25">
      <c r="A132" s="375"/>
      <c r="B132" s="166"/>
      <c r="C132" s="90"/>
      <c r="D132" s="90"/>
      <c r="E132" s="90"/>
      <c r="F132" s="90"/>
      <c r="G132" s="90"/>
      <c r="H132" s="90"/>
      <c r="I132" s="90"/>
      <c r="J132" s="378"/>
    </row>
    <row r="133" spans="1:10" x14ac:dyDescent="0.25">
      <c r="A133" s="375"/>
      <c r="B133" s="166"/>
      <c r="C133" s="90"/>
      <c r="D133" s="90"/>
      <c r="E133" s="90"/>
      <c r="F133" s="90"/>
      <c r="G133" s="90"/>
      <c r="H133" s="90"/>
      <c r="I133" s="90"/>
    </row>
    <row r="134" spans="1:10" x14ac:dyDescent="0.25">
      <c r="A134" s="375"/>
      <c r="B134" s="166"/>
      <c r="C134" s="90"/>
      <c r="D134" s="90"/>
      <c r="E134" s="90"/>
      <c r="F134" s="90"/>
      <c r="G134" s="90"/>
      <c r="H134" s="90"/>
      <c r="I134" s="152"/>
      <c r="J134" s="378"/>
    </row>
    <row r="135" spans="1:10" x14ac:dyDescent="0.25">
      <c r="A135" s="90"/>
      <c r="B135" s="90"/>
      <c r="C135" s="90"/>
      <c r="D135" s="90"/>
      <c r="E135" s="90"/>
      <c r="F135" s="90"/>
      <c r="G135" s="90"/>
      <c r="H135" s="100"/>
      <c r="I135" s="379"/>
      <c r="J135" s="378"/>
    </row>
    <row r="136" spans="1:10" x14ac:dyDescent="0.25">
      <c r="A136" s="90"/>
      <c r="B136" s="90"/>
      <c r="C136" s="90"/>
      <c r="D136" s="90"/>
      <c r="E136" s="90"/>
      <c r="F136" s="90"/>
      <c r="G136" s="90"/>
      <c r="H136" s="90"/>
      <c r="I136" s="90"/>
    </row>
    <row r="137" spans="1:10" x14ac:dyDescent="0.25">
      <c r="A137" s="90"/>
      <c r="B137" s="90"/>
      <c r="C137" s="90"/>
      <c r="D137" s="90"/>
      <c r="E137" s="90"/>
      <c r="F137" s="90"/>
      <c r="G137" s="90"/>
      <c r="H137" s="90"/>
      <c r="I137" s="90"/>
    </row>
    <row r="138" spans="1:10" x14ac:dyDescent="0.25">
      <c r="A138" s="90"/>
      <c r="B138" s="90"/>
      <c r="C138" s="90"/>
      <c r="D138" s="90"/>
      <c r="E138" s="90"/>
      <c r="F138" s="90"/>
      <c r="G138" s="90"/>
      <c r="H138" s="90"/>
      <c r="I138" s="90"/>
    </row>
    <row r="139" spans="1:10" x14ac:dyDescent="0.25">
      <c r="A139" s="90"/>
      <c r="B139" s="90"/>
      <c r="C139" s="90"/>
      <c r="D139" s="90"/>
      <c r="E139" s="90"/>
      <c r="F139" s="90"/>
      <c r="G139" s="90"/>
      <c r="H139" s="90"/>
      <c r="I139" s="90"/>
    </row>
    <row r="140" spans="1:10" x14ac:dyDescent="0.25">
      <c r="A140" s="90"/>
      <c r="B140" s="90"/>
      <c r="C140" s="90"/>
      <c r="D140" s="90"/>
      <c r="E140" s="90"/>
      <c r="F140" s="90"/>
      <c r="G140" s="90"/>
      <c r="H140" s="90"/>
      <c r="I140" s="90"/>
    </row>
    <row r="141" spans="1:10" x14ac:dyDescent="0.25">
      <c r="A141" s="90"/>
      <c r="B141" s="90"/>
      <c r="C141" s="90"/>
      <c r="D141" s="90"/>
      <c r="E141" s="90"/>
      <c r="F141" s="90"/>
      <c r="G141" s="90"/>
      <c r="H141" s="90"/>
      <c r="I141" s="90"/>
    </row>
    <row r="142" spans="1:10" x14ac:dyDescent="0.25">
      <c r="A142" s="90"/>
      <c r="B142" s="90"/>
      <c r="C142" s="90"/>
      <c r="D142" s="90"/>
      <c r="E142" s="90"/>
      <c r="F142" s="90"/>
      <c r="G142" s="90"/>
      <c r="H142" s="90"/>
      <c r="I142" s="90"/>
    </row>
    <row r="143" spans="1:10" x14ac:dyDescent="0.25">
      <c r="A143" s="90"/>
      <c r="B143" s="100"/>
      <c r="C143" s="90"/>
      <c r="D143" s="100"/>
      <c r="E143" s="100"/>
      <c r="F143" s="90"/>
      <c r="G143" s="100"/>
      <c r="H143" s="90"/>
      <c r="I143" s="90"/>
    </row>
    <row r="144" spans="1:10" x14ac:dyDescent="0.25">
      <c r="A144" s="90"/>
      <c r="B144" s="100"/>
      <c r="C144" s="90"/>
      <c r="D144" s="100"/>
      <c r="E144" s="100"/>
      <c r="F144" s="90"/>
      <c r="G144" s="380"/>
      <c r="H144" s="90"/>
      <c r="I144" s="90"/>
    </row>
    <row r="145" spans="1:9" x14ac:dyDescent="0.25">
      <c r="A145" s="90"/>
      <c r="B145" s="100"/>
      <c r="C145" s="90"/>
      <c r="D145" s="100"/>
      <c r="E145" s="100"/>
      <c r="F145" s="90"/>
      <c r="G145" s="380"/>
      <c r="H145" s="90"/>
      <c r="I145" s="90"/>
    </row>
    <row r="146" spans="1:9" x14ac:dyDescent="0.25">
      <c r="A146" s="90"/>
      <c r="B146" s="90"/>
      <c r="C146" s="90"/>
      <c r="D146" s="90"/>
      <c r="E146" s="90"/>
      <c r="F146" s="90"/>
      <c r="G146" s="90"/>
      <c r="H146" s="90"/>
      <c r="I146" s="90"/>
    </row>
    <row r="147" spans="1:9" x14ac:dyDescent="0.25">
      <c r="A147" s="170"/>
      <c r="B147" s="90"/>
      <c r="C147" s="90"/>
      <c r="D147" s="90"/>
      <c r="E147" s="90"/>
      <c r="F147" s="101"/>
      <c r="G147" s="170"/>
      <c r="H147" s="100"/>
      <c r="I147" s="90"/>
    </row>
    <row r="148" spans="1:9" x14ac:dyDescent="0.25">
      <c r="A148" s="147"/>
      <c r="B148" s="90"/>
      <c r="C148" s="90"/>
      <c r="D148" s="90"/>
      <c r="E148" s="90"/>
      <c r="F148" s="90"/>
      <c r="G148" s="90"/>
      <c r="H148" s="90"/>
      <c r="I148" s="90"/>
    </row>
    <row r="149" spans="1:9" x14ac:dyDescent="0.25">
      <c r="A149" s="90"/>
      <c r="B149" s="90"/>
      <c r="C149" s="90"/>
      <c r="D149" s="90"/>
      <c r="E149" s="90"/>
      <c r="F149" s="90"/>
      <c r="G149" s="90"/>
      <c r="H149" s="90"/>
      <c r="I149" s="90"/>
    </row>
    <row r="150" spans="1:9" x14ac:dyDescent="0.25">
      <c r="A150" s="147"/>
      <c r="B150" s="90"/>
      <c r="C150" s="90"/>
      <c r="D150" s="90"/>
      <c r="E150" s="90"/>
      <c r="F150" s="90"/>
      <c r="G150" s="90"/>
      <c r="H150" s="90"/>
      <c r="I150" s="90"/>
    </row>
    <row r="151" spans="1:9" x14ac:dyDescent="0.25">
      <c r="A151" s="90"/>
      <c r="B151" s="90"/>
      <c r="C151" s="90"/>
      <c r="D151" s="90"/>
      <c r="E151" s="90"/>
      <c r="F151" s="90"/>
      <c r="G151" s="90"/>
      <c r="H151" s="90"/>
      <c r="I151" s="90"/>
    </row>
    <row r="152" spans="1:9" x14ac:dyDescent="0.25">
      <c r="A152" s="90"/>
      <c r="B152" s="90"/>
      <c r="C152" s="90"/>
      <c r="D152" s="90"/>
      <c r="E152" s="90"/>
      <c r="F152" s="90"/>
      <c r="G152" s="90"/>
      <c r="H152" s="90"/>
      <c r="I152" s="90"/>
    </row>
    <row r="153" spans="1:9" x14ac:dyDescent="0.25">
      <c r="A153" s="375"/>
      <c r="B153" s="147"/>
      <c r="C153" s="90"/>
      <c r="D153" s="90"/>
      <c r="E153" s="90"/>
      <c r="F153" s="90"/>
      <c r="G153" s="90"/>
      <c r="H153" s="90"/>
      <c r="I153" s="90"/>
    </row>
    <row r="154" spans="1:9" x14ac:dyDescent="0.25">
      <c r="A154" s="120"/>
      <c r="H154" s="154"/>
    </row>
    <row r="155" spans="1:9" x14ac:dyDescent="0.25">
      <c r="A155" s="120"/>
      <c r="H155" s="154"/>
    </row>
    <row r="156" spans="1:9" x14ac:dyDescent="0.25">
      <c r="A156" s="120"/>
      <c r="H156" s="154"/>
    </row>
    <row r="157" spans="1:9" x14ac:dyDescent="0.25">
      <c r="A157" s="120"/>
      <c r="H157" s="154"/>
    </row>
    <row r="158" spans="1:9" x14ac:dyDescent="0.25">
      <c r="A158" s="120"/>
    </row>
    <row r="159" spans="1:9" x14ac:dyDescent="0.25">
      <c r="A159" s="120"/>
      <c r="H159" s="154"/>
    </row>
    <row r="160" spans="1:9" x14ac:dyDescent="0.25">
      <c r="A160" s="120"/>
    </row>
    <row r="161" spans="1:8" x14ac:dyDescent="0.25">
      <c r="A161" s="120"/>
      <c r="H161" s="154"/>
    </row>
    <row r="162" spans="1:8" x14ac:dyDescent="0.25">
      <c r="A162" s="120"/>
    </row>
    <row r="163" spans="1:8" x14ac:dyDescent="0.25">
      <c r="A163" s="120"/>
      <c r="H163" s="154"/>
    </row>
    <row r="164" spans="1:8" x14ac:dyDescent="0.25">
      <c r="A164" s="120"/>
    </row>
    <row r="165" spans="1:8" x14ac:dyDescent="0.25">
      <c r="A165" s="120"/>
      <c r="H165" s="154"/>
    </row>
    <row r="166" spans="1:8" x14ac:dyDescent="0.25">
      <c r="A166" s="120"/>
    </row>
    <row r="167" spans="1:8" x14ac:dyDescent="0.25">
      <c r="A167" s="120"/>
      <c r="B167" s="105"/>
    </row>
    <row r="168" spans="1:8" x14ac:dyDescent="0.25">
      <c r="A168" s="120"/>
      <c r="B168" s="105"/>
      <c r="E168" s="408"/>
      <c r="H168" s="154"/>
    </row>
    <row r="169" spans="1:8" x14ac:dyDescent="0.25">
      <c r="A169" s="120"/>
      <c r="B169" s="105"/>
      <c r="H169" s="154"/>
    </row>
    <row r="170" spans="1:8" x14ac:dyDescent="0.25">
      <c r="A170" s="120"/>
    </row>
    <row r="171" spans="1:8" x14ac:dyDescent="0.25">
      <c r="A171" s="120"/>
      <c r="B171" s="105"/>
      <c r="H171" s="154"/>
    </row>
    <row r="172" spans="1:8" x14ac:dyDescent="0.25">
      <c r="A172" s="120"/>
    </row>
    <row r="173" spans="1:8" x14ac:dyDescent="0.25">
      <c r="A173" s="120"/>
      <c r="H173" s="154"/>
    </row>
    <row r="174" spans="1:8" x14ac:dyDescent="0.25">
      <c r="A174" s="120"/>
      <c r="H174" s="154"/>
    </row>
    <row r="175" spans="1:8" x14ac:dyDescent="0.25">
      <c r="A175" s="120"/>
      <c r="B175" s="105"/>
      <c r="H175" s="154"/>
    </row>
    <row r="176" spans="1:8" x14ac:dyDescent="0.25">
      <c r="A176" s="120"/>
    </row>
    <row r="177" spans="1:8" x14ac:dyDescent="0.25">
      <c r="A177" s="120"/>
      <c r="B177" s="105"/>
    </row>
    <row r="178" spans="1:8" x14ac:dyDescent="0.25">
      <c r="A178" s="120"/>
    </row>
    <row r="179" spans="1:8" x14ac:dyDescent="0.25">
      <c r="A179" s="120"/>
      <c r="B179" s="105"/>
    </row>
    <row r="180" spans="1:8" x14ac:dyDescent="0.25">
      <c r="A180" s="120"/>
    </row>
    <row r="181" spans="1:8" x14ac:dyDescent="0.25">
      <c r="A181" s="120"/>
      <c r="B181" s="105"/>
    </row>
    <row r="182" spans="1:8" x14ac:dyDescent="0.25">
      <c r="A182" s="120"/>
    </row>
    <row r="183" spans="1:8" x14ac:dyDescent="0.25">
      <c r="A183" s="120"/>
    </row>
    <row r="184" spans="1:8" x14ac:dyDescent="0.25">
      <c r="A184" s="120"/>
    </row>
    <row r="185" spans="1:8" x14ac:dyDescent="0.25">
      <c r="A185" s="120"/>
      <c r="H185" s="154"/>
    </row>
    <row r="186" spans="1:8" x14ac:dyDescent="0.25">
      <c r="A186" s="120"/>
    </row>
    <row r="187" spans="1:8" x14ac:dyDescent="0.25">
      <c r="A187" s="120"/>
      <c r="H187" s="154"/>
    </row>
    <row r="188" spans="1:8" x14ac:dyDescent="0.25">
      <c r="A188" s="120"/>
    </row>
    <row r="189" spans="1:8" x14ac:dyDescent="0.25">
      <c r="A189" s="120"/>
    </row>
    <row r="191" spans="1:8" x14ac:dyDescent="0.25">
      <c r="A191" s="120"/>
      <c r="H191" s="154"/>
    </row>
    <row r="193" spans="1:2" x14ac:dyDescent="0.25">
      <c r="A193" s="120"/>
      <c r="B193" s="110"/>
    </row>
  </sheetData>
  <mergeCells count="24">
    <mergeCell ref="B80:E80"/>
    <mergeCell ref="B50:F50"/>
    <mergeCell ref="B53:E53"/>
    <mergeCell ref="B57:E57"/>
    <mergeCell ref="B59:E59"/>
    <mergeCell ref="B61:E61"/>
    <mergeCell ref="B63:E63"/>
    <mergeCell ref="B65:E65"/>
    <mergeCell ref="B69:E69"/>
    <mergeCell ref="B74:E74"/>
    <mergeCell ref="B76:E76"/>
    <mergeCell ref="B78:E78"/>
    <mergeCell ref="B102:E102"/>
    <mergeCell ref="B81:C81"/>
    <mergeCell ref="B82:C82"/>
    <mergeCell ref="B84:E84"/>
    <mergeCell ref="B85:C85"/>
    <mergeCell ref="B86:C86"/>
    <mergeCell ref="B90:E90"/>
    <mergeCell ref="B91:C91"/>
    <mergeCell ref="B92:E92"/>
    <mergeCell ref="B95:E95"/>
    <mergeCell ref="B96:E96"/>
    <mergeCell ref="B97:E9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9"/>
  <sheetViews>
    <sheetView topLeftCell="A105" workbookViewId="0">
      <selection activeCell="I75" sqref="I75"/>
    </sheetView>
  </sheetViews>
  <sheetFormatPr defaultRowHeight="15" x14ac:dyDescent="0.25"/>
  <cols>
    <col min="2" max="2" width="9.140625" style="120"/>
    <col min="7" max="7" width="11.28515625" customWidth="1"/>
    <col min="9" max="9" width="15.140625" customWidth="1"/>
  </cols>
  <sheetData>
    <row r="1" spans="1:13" x14ac:dyDescent="0.25">
      <c r="A1" s="90"/>
      <c r="B1" s="558"/>
      <c r="C1" s="559"/>
      <c r="D1" s="559"/>
      <c r="E1" s="560" t="s">
        <v>597</v>
      </c>
      <c r="F1" s="195"/>
      <c r="G1" s="561">
        <f>Design!G36</f>
        <v>341550.72</v>
      </c>
      <c r="H1" s="562" t="s">
        <v>20</v>
      </c>
    </row>
    <row r="2" spans="1:13" x14ac:dyDescent="0.25">
      <c r="A2" s="90"/>
      <c r="B2" s="563"/>
      <c r="C2" s="564"/>
      <c r="D2" s="564"/>
      <c r="E2" s="562" t="s">
        <v>598</v>
      </c>
      <c r="F2" s="195"/>
      <c r="G2" s="561">
        <f>$D$23-$D$25</f>
        <v>171455.99999999997</v>
      </c>
      <c r="H2" s="562" t="s">
        <v>20</v>
      </c>
    </row>
    <row r="4" spans="1:13" x14ac:dyDescent="0.25">
      <c r="D4" s="565" t="s">
        <v>599</v>
      </c>
      <c r="J4" s="565" t="s">
        <v>599</v>
      </c>
    </row>
    <row r="5" spans="1:13" x14ac:dyDescent="0.25">
      <c r="C5" s="566">
        <v>3</v>
      </c>
      <c r="F5" s="565" t="s">
        <v>600</v>
      </c>
      <c r="I5" s="565">
        <f>C5</f>
        <v>3</v>
      </c>
    </row>
    <row r="6" spans="1:13" x14ac:dyDescent="0.25">
      <c r="C6" s="565"/>
      <c r="D6" s="565"/>
      <c r="F6" s="565" t="s">
        <v>601</v>
      </c>
      <c r="G6" s="567" t="s">
        <v>602</v>
      </c>
      <c r="H6" s="568">
        <v>0.6</v>
      </c>
      <c r="I6" s="565"/>
      <c r="J6" s="565"/>
    </row>
    <row r="7" spans="1:13" x14ac:dyDescent="0.25">
      <c r="B7" s="569"/>
      <c r="D7" s="565"/>
      <c r="E7" s="565"/>
      <c r="F7" s="565"/>
      <c r="G7" s="565"/>
      <c r="H7" s="565"/>
      <c r="I7" s="565"/>
      <c r="J7" s="565"/>
    </row>
    <row r="8" spans="1:13" x14ac:dyDescent="0.25">
      <c r="B8" s="569"/>
      <c r="D8" s="565"/>
      <c r="F8" s="565" t="s">
        <v>603</v>
      </c>
      <c r="H8" s="565"/>
      <c r="I8" s="565"/>
      <c r="J8" s="565"/>
    </row>
    <row r="9" spans="1:13" x14ac:dyDescent="0.25">
      <c r="B9" s="569"/>
      <c r="C9" s="570">
        <v>2</v>
      </c>
      <c r="D9" s="571" t="s">
        <v>604</v>
      </c>
      <c r="E9" s="572">
        <v>0</v>
      </c>
      <c r="F9" s="565" t="s">
        <v>605</v>
      </c>
      <c r="G9" s="573">
        <f>(I9-H6)</f>
        <v>3.9999999999999996</v>
      </c>
      <c r="H9" s="565"/>
      <c r="I9" s="574">
        <v>4.5999999999999996</v>
      </c>
      <c r="J9" s="565"/>
    </row>
    <row r="10" spans="1:13" x14ac:dyDescent="0.25">
      <c r="B10" s="569"/>
      <c r="C10" s="570">
        <v>2</v>
      </c>
      <c r="D10" s="571" t="s">
        <v>606</v>
      </c>
      <c r="E10" s="575"/>
      <c r="F10" s="565" t="s">
        <v>607</v>
      </c>
      <c r="G10" s="572">
        <v>0</v>
      </c>
      <c r="H10" s="565"/>
      <c r="J10" s="575"/>
      <c r="K10" s="565"/>
    </row>
    <row r="11" spans="1:13" x14ac:dyDescent="0.25">
      <c r="B11" s="569"/>
      <c r="D11" s="565"/>
      <c r="E11" s="576"/>
      <c r="F11" s="565"/>
      <c r="G11" s="565"/>
      <c r="H11" s="565"/>
      <c r="I11" s="576"/>
      <c r="J11" s="565"/>
      <c r="K11" s="565"/>
      <c r="L11" s="565"/>
    </row>
    <row r="12" spans="1:13" x14ac:dyDescent="0.25">
      <c r="C12" s="569">
        <f>C9*I9+C10*I9+C5</f>
        <v>21.4</v>
      </c>
      <c r="F12" s="565"/>
      <c r="G12" s="565" t="s">
        <v>608</v>
      </c>
      <c r="H12" s="568">
        <v>0</v>
      </c>
      <c r="I12" s="565"/>
      <c r="J12" s="577">
        <f>(G9/2)</f>
        <v>1.9999999999999998</v>
      </c>
      <c r="K12" s="565" t="s">
        <v>599</v>
      </c>
      <c r="L12" s="565"/>
    </row>
    <row r="13" spans="1:13" x14ac:dyDescent="0.25">
      <c r="H13" s="578"/>
    </row>
    <row r="14" spans="1:13" x14ac:dyDescent="0.25">
      <c r="B14" s="569" t="s">
        <v>609</v>
      </c>
      <c r="D14" s="579">
        <v>0</v>
      </c>
      <c r="E14" s="565" t="s">
        <v>599</v>
      </c>
    </row>
    <row r="16" spans="1:13" x14ac:dyDescent="0.25">
      <c r="B16" s="569" t="s">
        <v>610</v>
      </c>
      <c r="D16" s="566">
        <v>220</v>
      </c>
      <c r="E16" s="572">
        <v>180</v>
      </c>
      <c r="F16" s="569" t="s">
        <v>611</v>
      </c>
      <c r="G16" s="569">
        <f>D16+C12*2+0.7</f>
        <v>263.5</v>
      </c>
      <c r="H16" s="569">
        <f>E16+C12*2+0.7</f>
        <v>223.5</v>
      </c>
      <c r="I16" s="290">
        <f>+H16*G16/4017</f>
        <v>14.66075429424944</v>
      </c>
      <c r="J16" s="569"/>
      <c r="M16" s="577"/>
    </row>
    <row r="18" spans="2:13" x14ac:dyDescent="0.25">
      <c r="B18" s="580" t="s">
        <v>612</v>
      </c>
      <c r="D18" s="581">
        <f>((D16-2*E9)-D14*0.5)*((E16-2*E9)-D14*0.5)*D14</f>
        <v>0</v>
      </c>
      <c r="E18" s="565" t="s">
        <v>20</v>
      </c>
      <c r="F18" s="575" t="s">
        <v>613</v>
      </c>
      <c r="H18" s="582">
        <f>($D$16-($D$14*0.5)-$E$9*2)*($E$16-($D$14*0.5)-$E$9*2)*$D$14</f>
        <v>0</v>
      </c>
      <c r="I18" s="565" t="s">
        <v>20</v>
      </c>
    </row>
    <row r="19" spans="2:13" x14ac:dyDescent="0.25">
      <c r="B19" s="569" t="s">
        <v>614</v>
      </c>
      <c r="E19" s="581"/>
      <c r="F19" s="565"/>
    </row>
    <row r="20" spans="2:13" x14ac:dyDescent="0.25">
      <c r="B20" s="569"/>
      <c r="E20" s="581"/>
    </row>
    <row r="21" spans="2:13" x14ac:dyDescent="0.25">
      <c r="B21" s="583" t="s">
        <v>615</v>
      </c>
      <c r="D21" s="581">
        <f>(($G$9*$C$10)+$D$16)*(($G$9*$C$10)+$E$16)*$G$9</f>
        <v>171455.99999999997</v>
      </c>
      <c r="E21" s="565" t="s">
        <v>20</v>
      </c>
      <c r="F21" s="575" t="s">
        <v>616</v>
      </c>
      <c r="H21" s="582">
        <f>((($I$9*$C$10)*2+$D$16+$C$5)+(($I$9*$C$10)*2+$E$16+$C$5))*2*(($C$5+$C$12)*0.5*$I$9)</f>
        <v>49699.871999999996</v>
      </c>
      <c r="I21" s="565" t="s">
        <v>20</v>
      </c>
    </row>
    <row r="22" spans="2:13" x14ac:dyDescent="0.25">
      <c r="B22" s="569"/>
      <c r="E22" s="581"/>
      <c r="F22" s="565"/>
    </row>
    <row r="23" spans="2:13" x14ac:dyDescent="0.25">
      <c r="B23" s="580" t="s">
        <v>617</v>
      </c>
      <c r="D23" s="581">
        <f>D21+D18</f>
        <v>171455.99999999997</v>
      </c>
      <c r="E23" s="565" t="s">
        <v>20</v>
      </c>
    </row>
    <row r="24" spans="2:13" x14ac:dyDescent="0.25">
      <c r="E24" s="581"/>
    </row>
    <row r="25" spans="2:13" x14ac:dyDescent="0.25">
      <c r="B25" s="580" t="s">
        <v>618</v>
      </c>
      <c r="D25" s="581">
        <f>(((H12)+(D16-E9*2-D14))*((H12)+(E16-E9*2-D14))*H12)+(($D$16+$G$10*$C$10)*($E$16+$G$10*$C$10)*$G$10)</f>
        <v>0</v>
      </c>
      <c r="E25" s="565" t="s">
        <v>20</v>
      </c>
      <c r="F25" s="575" t="s">
        <v>619</v>
      </c>
      <c r="H25" s="582">
        <f>(D27)/(1.02^10)</f>
        <v>140653.63810339459</v>
      </c>
      <c r="I25" s="565" t="s">
        <v>20</v>
      </c>
    </row>
    <row r="26" spans="2:13" x14ac:dyDescent="0.25">
      <c r="E26" s="581"/>
      <c r="F26" s="565"/>
    </row>
    <row r="27" spans="2:13" x14ac:dyDescent="0.25">
      <c r="B27" s="580" t="s">
        <v>620</v>
      </c>
      <c r="D27" s="581">
        <f>$D$23-$D$25</f>
        <v>171455.99999999997</v>
      </c>
      <c r="E27" s="565" t="s">
        <v>20</v>
      </c>
      <c r="F27" s="575" t="s">
        <v>621</v>
      </c>
      <c r="H27" s="584">
        <f>I9</f>
        <v>4.5999999999999996</v>
      </c>
      <c r="I27" t="s">
        <v>599</v>
      </c>
      <c r="M27" s="578"/>
    </row>
    <row r="28" spans="2:13" x14ac:dyDescent="0.25">
      <c r="E28" s="581"/>
    </row>
    <row r="30" spans="2:13" x14ac:dyDescent="0.25">
      <c r="B30" s="569"/>
      <c r="C30" s="576"/>
      <c r="D30" s="576"/>
      <c r="E30" s="576"/>
      <c r="F30" s="576"/>
      <c r="G30" s="576"/>
      <c r="H30" s="576"/>
      <c r="I30" s="576"/>
      <c r="J30" s="576"/>
      <c r="K30" s="576"/>
    </row>
    <row r="31" spans="2:13" x14ac:dyDescent="0.25">
      <c r="B31" s="585" t="s">
        <v>622</v>
      </c>
      <c r="C31" s="586"/>
      <c r="D31" s="586"/>
      <c r="E31" s="586"/>
      <c r="F31" s="587" t="s">
        <v>623</v>
      </c>
      <c r="G31" s="586"/>
      <c r="H31" s="586"/>
      <c r="I31" s="586"/>
      <c r="J31" s="587" t="s">
        <v>36</v>
      </c>
    </row>
    <row r="32" spans="2:13" x14ac:dyDescent="0.25">
      <c r="B32" s="569"/>
      <c r="C32" s="576"/>
      <c r="D32" s="576"/>
      <c r="E32" s="576"/>
      <c r="F32" s="576"/>
      <c r="G32" s="576"/>
      <c r="H32" s="576"/>
      <c r="I32" s="576"/>
      <c r="J32" s="576"/>
      <c r="K32" s="576"/>
    </row>
    <row r="33" spans="1:10" x14ac:dyDescent="0.25">
      <c r="B33" s="569" t="s">
        <v>624</v>
      </c>
      <c r="D33" s="588">
        <f>(($D$16+($I$9*$C$10*2)+$C$5)+(($E$16+($I$9*$C$10*2)+$C$5)))*2*($C$5+($C$5+$G$9*0.5))*0.5*0.5*$G$9</f>
        <v>7084.7999999999993</v>
      </c>
      <c r="E33" s="589" t="s">
        <v>20</v>
      </c>
      <c r="F33" s="588">
        <f>(($D$16+($I$9*$C$10*2)+$C$5)+(($E$16+($I$9*$C$10*2+$C$5))))*2</f>
        <v>885.6</v>
      </c>
      <c r="G33" s="589" t="s">
        <v>599</v>
      </c>
      <c r="H33" s="588">
        <f>($C$5+($C$5+$G$9*0.5))*0.5*0.5*$G$9</f>
        <v>7.9999999999999991</v>
      </c>
      <c r="I33" s="589" t="s">
        <v>20</v>
      </c>
      <c r="J33" s="588">
        <f>(($D$16+($I$9*$C$10*2)+$C$5)+(($E$16+($I$9*$C$10*2+$C$5))))*2*($C$5+($C$5+$G$9))*0.5*0.5*$G$9</f>
        <v>8855.9999999999982</v>
      </c>
    </row>
    <row r="34" spans="1:10" x14ac:dyDescent="0.25">
      <c r="D34" s="154"/>
      <c r="E34" s="154"/>
      <c r="F34" s="154"/>
      <c r="G34" s="154"/>
      <c r="H34" s="154"/>
      <c r="I34" s="154"/>
      <c r="J34" s="154"/>
    </row>
    <row r="35" spans="1:10" x14ac:dyDescent="0.25">
      <c r="A35" s="520"/>
      <c r="B35" s="569" t="s">
        <v>625</v>
      </c>
      <c r="D35" s="588">
        <f>IF(I9&gt;3.4,((($D$16+2*($I$9*$C$10+$C$5+0.5*$G$9*0.5+0.6)+($I$9*$C$10-0.5*0.5*$G$9-0.6-$C$10*1.2*2))+($E$16+2*($I$9*$C$10+$C$5+0.5*0.5*$G$9+0.6)+($I$9*$C$10-0.5*0.5*$G$9-0.6-$C$10*1.2*2)))*2*0.9),0)</f>
        <v>829.44</v>
      </c>
      <c r="E35" s="589" t="s">
        <v>20</v>
      </c>
      <c r="F35" s="588">
        <f>IF(I9&gt;3.4,((($D$16+2*($I$9*$C$10+$C$5+0.5*$G$9*0.5+0.6)+($I$9*$C$10-0.5*0.5*$G$9-0.6-$C$10*1.2*2))+($E$16+2*($I$9*$C$10+$C$5+0.5*0.5*$G$9+0.6)+($I$9*$C$10-0.5*0.5*$G$9-0.6-$C$10*1.2*2)))*2),0)</f>
        <v>921.6</v>
      </c>
      <c r="G35" s="589" t="s">
        <v>599</v>
      </c>
      <c r="H35" s="588">
        <f>IF(I9&gt;3.4,(($I$9*$C$10-0.5*0.5*$G$9-0.6-$C$10*1.2*2)*0.9),0)/0.9</f>
        <v>2.8</v>
      </c>
      <c r="I35" s="589" t="s">
        <v>20</v>
      </c>
      <c r="J35" s="588">
        <f>(($D$16+(2*(($I$9*$C$10)+$C$5+0.5*$I$9*$C$10)))+($E$16+(2*(($I$9*$C$10)+$C$5+0.5*$I$9*$C$10))))*2*0.9*($I$9*$C$10-($G$9*0.5+0.6+0.3+2*($C$10*1.2)+1))</f>
        <v>420.48</v>
      </c>
    </row>
    <row r="36" spans="1:10" x14ac:dyDescent="0.25">
      <c r="D36" s="154"/>
      <c r="E36" s="154"/>
      <c r="F36" s="154"/>
      <c r="G36" s="154"/>
      <c r="H36" s="154"/>
      <c r="I36" s="154"/>
      <c r="J36" s="154"/>
    </row>
    <row r="37" spans="1:10" x14ac:dyDescent="0.25">
      <c r="B37" s="569" t="s">
        <v>626</v>
      </c>
      <c r="D37" s="588">
        <f>H21</f>
        <v>49699.871999999996</v>
      </c>
      <c r="E37" s="589" t="s">
        <v>20</v>
      </c>
      <c r="F37" s="588">
        <f>((($I$9*$C$10)*2+$D$16+$C$5)+(($I$9*$C$10)*2+$E$16+$C$5))*2</f>
        <v>885.6</v>
      </c>
      <c r="G37" s="589" t="s">
        <v>599</v>
      </c>
      <c r="H37" s="588">
        <f>(($C$5+$C$12)*0.5*$I$9)</f>
        <v>56.11999999999999</v>
      </c>
      <c r="I37" s="589" t="s">
        <v>20</v>
      </c>
      <c r="J37" s="588">
        <f>((($H$27*$C$10)*2+$D$16+$C$5)+(($H$27*$C$10)*2+$E$16+$C$5))*2*((($C$5+($I$9-$H$27)*$C$10)+$C$12)*0.5*$H$27)</f>
        <v>49699.871999999996</v>
      </c>
    </row>
    <row r="38" spans="1:10" x14ac:dyDescent="0.25">
      <c r="B38" s="569" t="s">
        <v>627</v>
      </c>
      <c r="D38" s="154"/>
      <c r="E38" s="154"/>
      <c r="F38" s="154"/>
      <c r="G38" s="154"/>
      <c r="H38" s="154"/>
      <c r="I38" s="154"/>
      <c r="J38" s="154"/>
    </row>
    <row r="39" spans="1:10" x14ac:dyDescent="0.25">
      <c r="D39" s="154"/>
      <c r="E39" s="154"/>
      <c r="F39" s="154"/>
      <c r="G39" s="154"/>
      <c r="H39" s="154"/>
      <c r="I39" s="154"/>
      <c r="J39" s="154"/>
    </row>
    <row r="40" spans="1:10" x14ac:dyDescent="0.25">
      <c r="B40" s="569" t="s">
        <v>628</v>
      </c>
      <c r="D40" s="588">
        <f>H18</f>
        <v>0</v>
      </c>
      <c r="E40" s="589" t="s">
        <v>20</v>
      </c>
      <c r="F40" s="588">
        <f>($D$16-($D$14*0.5)-$E$9*2)</f>
        <v>220</v>
      </c>
      <c r="G40" s="588">
        <f>($E$16-($D$14*0.5)-$E$9*2)</f>
        <v>180</v>
      </c>
      <c r="H40" s="588">
        <f>($D$14)</f>
        <v>0</v>
      </c>
      <c r="I40" s="589" t="s">
        <v>599</v>
      </c>
      <c r="J40" s="154"/>
    </row>
    <row r="41" spans="1:10" x14ac:dyDescent="0.25">
      <c r="B41" s="569" t="s">
        <v>627</v>
      </c>
      <c r="D41" s="154"/>
      <c r="E41" s="154"/>
      <c r="F41" s="154"/>
      <c r="G41" s="154"/>
      <c r="H41" s="154"/>
      <c r="I41" s="154"/>
      <c r="J41" s="154"/>
    </row>
    <row r="42" spans="1:10" x14ac:dyDescent="0.25">
      <c r="D42" s="154"/>
      <c r="E42" s="154"/>
      <c r="F42" s="154"/>
      <c r="G42" s="154"/>
      <c r="H42" s="154"/>
      <c r="I42" s="154"/>
      <c r="J42" s="154"/>
    </row>
    <row r="43" spans="1:10" x14ac:dyDescent="0.25">
      <c r="B43" s="569" t="s">
        <v>629</v>
      </c>
      <c r="D43" s="588">
        <f>(($D$16+($I$9*$C$10))+($E$16+($I$9*$C$10)))*2*(SQRT($I$9^2+($I$9*$C$10)^2))</f>
        <v>8607.2517444303903</v>
      </c>
      <c r="E43" s="589" t="s">
        <v>60</v>
      </c>
      <c r="F43" s="588">
        <f>(($D$16+($I$9*$C$10))+($E$16+($I$9*$C$10)))*2</f>
        <v>836.8</v>
      </c>
      <c r="G43" s="589" t="s">
        <v>599</v>
      </c>
      <c r="H43" s="588">
        <f>(SQRT($I$9^2+($I$9*$C$10)^2))</f>
        <v>10.285912696499032</v>
      </c>
      <c r="I43" s="589" t="s">
        <v>599</v>
      </c>
      <c r="J43" s="588">
        <f>(($D$16+($H$27*$C$10))+($E$16+($H$27*$C$10)))*2*(SQRT($H$27^2+($H$27*$C$10)^2))</f>
        <v>8607.2517444303903</v>
      </c>
    </row>
    <row r="44" spans="1:10" x14ac:dyDescent="0.25">
      <c r="D44" s="154"/>
      <c r="E44" s="154"/>
      <c r="F44" s="154"/>
      <c r="G44" s="154"/>
      <c r="H44" s="154"/>
      <c r="I44" s="154"/>
      <c r="J44" s="154"/>
    </row>
    <row r="45" spans="1:10" x14ac:dyDescent="0.25">
      <c r="B45" s="569" t="s">
        <v>630</v>
      </c>
      <c r="D45" s="588">
        <f>(($D$16-0.6)+($E$16-0.6))*2*0.6*0.6</f>
        <v>287.13599999999997</v>
      </c>
      <c r="E45" s="589" t="s">
        <v>20</v>
      </c>
      <c r="F45" s="588">
        <f>(($D$16-0.6)+($E$16-0.6))*2</f>
        <v>797.6</v>
      </c>
      <c r="G45" s="589" t="s">
        <v>599</v>
      </c>
      <c r="H45" s="589" t="s">
        <v>631</v>
      </c>
      <c r="I45" s="154"/>
      <c r="J45" s="154"/>
    </row>
    <row r="46" spans="1:10" x14ac:dyDescent="0.25">
      <c r="D46" s="154"/>
      <c r="E46" s="154"/>
      <c r="F46" s="154"/>
      <c r="G46" s="154"/>
      <c r="H46" s="154"/>
      <c r="I46" s="154"/>
      <c r="J46" s="154"/>
    </row>
    <row r="47" spans="1:10" x14ac:dyDescent="0.25">
      <c r="B47" s="569" t="s">
        <v>632</v>
      </c>
      <c r="D47" s="588">
        <f>(($D$16+($I$9*$C$10)*2+$C$5)+($E$16+($I$9*$C$10)*2+$C$5))*$C$5*0.15*2</f>
        <v>398.52000000000004</v>
      </c>
      <c r="E47" s="589" t="s">
        <v>20</v>
      </c>
      <c r="F47" s="588">
        <f>(($D$16+($I$9*$C$10)*2+$C$5)+($E$16+($I$9*$C$10)*2+$C$5))*2</f>
        <v>885.6</v>
      </c>
      <c r="G47" s="589" t="s">
        <v>599</v>
      </c>
      <c r="H47" s="588">
        <f>C5</f>
        <v>3</v>
      </c>
      <c r="I47" s="154"/>
      <c r="J47" s="154"/>
    </row>
    <row r="48" spans="1:10" x14ac:dyDescent="0.25">
      <c r="D48" s="154"/>
      <c r="E48" s="154"/>
      <c r="F48" s="154"/>
      <c r="G48" s="154"/>
      <c r="H48" s="154"/>
      <c r="I48" s="154"/>
      <c r="J48" s="154"/>
    </row>
    <row r="49" spans="2:10" x14ac:dyDescent="0.25">
      <c r="B49" s="569" t="s">
        <v>633</v>
      </c>
      <c r="D49" s="588">
        <f>IF(I9&gt;3.4,((($D$16+($I$9*$C$10)*4+2*$C$5)-(1+2*(1.2*$C$10))*0.5)+(($E$16+($I$9*$C$10)*4+2*$C$5)-(1+2*(1.2*$C$10))*0.5))*2*((1.2*$C$10)*2+2+2*(SQRT(1.2^2+(1.2*$C$10)^2))),0)</f>
        <v>11675.033994901118</v>
      </c>
      <c r="E49" s="589" t="s">
        <v>60</v>
      </c>
      <c r="F49" s="588">
        <f>IF(I9&gt;3.4,(((($D$16+($I$9*$C$10)*4+2*$C$5)-(1+2*(1.2*$C$10))*0.5)+(($E$16+($I$9*$C$10)*4+2*$C$5)-(1+2*(1.2*$C$10))*0.5))*2),0)</f>
        <v>959.60000000000014</v>
      </c>
      <c r="G49" s="589" t="s">
        <v>599</v>
      </c>
      <c r="H49" s="588">
        <f>IF(I9&gt;3.4,((1.2*$C$10)*2+2+2*(SQRT(1.2^2+(1.2*$C$10)^2))),0)</f>
        <v>12.166563145999495</v>
      </c>
      <c r="I49" s="589" t="s">
        <v>20</v>
      </c>
      <c r="J49" s="154"/>
    </row>
    <row r="50" spans="2:10" x14ac:dyDescent="0.25">
      <c r="D50" s="154"/>
      <c r="E50" s="154"/>
      <c r="F50" s="154"/>
      <c r="G50" s="154"/>
      <c r="H50" s="154"/>
      <c r="I50" s="154"/>
      <c r="J50" s="154"/>
    </row>
    <row r="51" spans="2:10" x14ac:dyDescent="0.25">
      <c r="B51" s="569" t="s">
        <v>634</v>
      </c>
      <c r="D51" s="588">
        <f>IF(I9&gt;3.4,(((($D$16+($I$9*$C$10)*4+2*$C$5)+3)+(($E$16+($I$9*$C$10)*4+2*$C$5)+3))*2*1.3*0.5*0.3),0)</f>
        <v>191.72400000000002</v>
      </c>
      <c r="E51" s="589" t="s">
        <v>20</v>
      </c>
      <c r="F51" s="588">
        <f>IF(I9&gt;3.4,(((($D$16+($I$9*$C$10)*4+2*$C$5)+3)+(($E$16+($I$9*$C$10)*4+2*$C$5)+3))*2),0)</f>
        <v>983.2</v>
      </c>
      <c r="G51" s="589" t="s">
        <v>599</v>
      </c>
      <c r="H51" s="588">
        <f>IF(I9&gt;3.4,(1.3*0.5*0.3),0)</f>
        <v>0.19500000000000001</v>
      </c>
      <c r="I51" s="589" t="s">
        <v>20</v>
      </c>
      <c r="J51" s="154"/>
    </row>
    <row r="52" spans="2:10" x14ac:dyDescent="0.25">
      <c r="D52" s="154"/>
      <c r="E52" s="154"/>
      <c r="F52" s="154"/>
      <c r="G52" s="154"/>
      <c r="H52" s="154"/>
      <c r="I52" s="154"/>
      <c r="J52" s="154"/>
    </row>
    <row r="53" spans="2:10" x14ac:dyDescent="0.25">
      <c r="B53" s="569" t="s">
        <v>635</v>
      </c>
      <c r="D53" s="588">
        <f>((($D$16+($I$9*$C$10)*4+2*$C$5)+3)+(($E$16+($I$9*$C$10)*4+2*$C$5)+3))*2*3.6</f>
        <v>3539.5200000000004</v>
      </c>
      <c r="E53" s="589" t="s">
        <v>60</v>
      </c>
      <c r="F53" s="588">
        <f>((($D$16+($I$9*$C$10)*4+2*$C$5)+3)+(($E$16+($I$9*$C$10)*4+2*$C$5)+3))*2</f>
        <v>983.2</v>
      </c>
      <c r="G53" s="589" t="s">
        <v>599</v>
      </c>
      <c r="H53" s="154"/>
      <c r="I53" s="154"/>
      <c r="J53" s="154"/>
    </row>
    <row r="54" spans="2:10" x14ac:dyDescent="0.25">
      <c r="D54" s="154"/>
      <c r="E54" s="154"/>
      <c r="F54" s="154"/>
      <c r="G54" s="154"/>
      <c r="H54" s="154"/>
      <c r="I54" s="154"/>
      <c r="J54" s="154"/>
    </row>
    <row r="55" spans="2:10" x14ac:dyDescent="0.25">
      <c r="B55" s="569" t="s">
        <v>636</v>
      </c>
      <c r="D55" s="588">
        <f>IF(I9&gt;3.4,((($D$16+2*($I$9*$C$10+$C$5+0.5*$G$9*0.5+0.6)+($I$9*$C$10-0.5*0.5*$G$9-0.6-$C$10*1.2*2))+($E$16+2*($I$9*$C$10+$C$5+0.5*0.5*$G$9+0.6)+2*($I$9*$C$10-0.5*0.5*$G$9-0.6-$C$10*1.2*2+0.3)))*2*0.3*0.9),0)</f>
        <v>250.66799999999998</v>
      </c>
      <c r="E55" s="589" t="s">
        <v>20</v>
      </c>
      <c r="F55" s="588">
        <f>IF(I9&gt;3.4,((($D$16+2*($I$9*$C$10+$C$5+0.5*$G$9*0.5+0.6)+($I$9*$C$10-0.5*0.5*$G$9-0.6-$C$10*1.2*2))+($E$16+2*($I$9*$C$10+$C$5+0.5*0.5*$G$9+0.6)+2*($I$9*$C$10-0.5*0.5*$G$9-0.6-$C$10*1.2*2+0.3)))*2),0)</f>
        <v>928.4</v>
      </c>
      <c r="G55" s="589" t="s">
        <v>599</v>
      </c>
      <c r="H55" s="589" t="s">
        <v>637</v>
      </c>
      <c r="I55" s="154"/>
      <c r="J55" s="154"/>
    </row>
    <row r="56" spans="2:10" x14ac:dyDescent="0.25">
      <c r="D56" s="154"/>
      <c r="E56" s="154"/>
      <c r="F56" s="154"/>
      <c r="G56" s="154"/>
      <c r="H56" s="154"/>
      <c r="I56" s="154"/>
      <c r="J56" s="154"/>
    </row>
    <row r="57" spans="2:10" x14ac:dyDescent="0.25">
      <c r="B57" s="569" t="s">
        <v>638</v>
      </c>
      <c r="D57" s="588">
        <f>IF(I9&gt;3.4,((($D$16+4*($I$9*$C$10)+2*$C$5)+($E$16+4*($I$9*$C$10)+2*$C$5)+1.4)*0.7*1.2),0)</f>
        <v>409.08</v>
      </c>
      <c r="E57" s="589" t="s">
        <v>20</v>
      </c>
      <c r="F57" s="588">
        <f>IF(I9&gt;3.4,(($D$16+4*($I$9*$C$10)+2*$C$5)+($E$16+4*($I$9*$C$10)+2*$C$5)+1.4),0)</f>
        <v>487</v>
      </c>
      <c r="G57" s="589" t="s">
        <v>599</v>
      </c>
      <c r="H57" s="589" t="s">
        <v>639</v>
      </c>
      <c r="I57" s="154"/>
      <c r="J57" s="154"/>
    </row>
    <row r="58" spans="2:10" x14ac:dyDescent="0.25">
      <c r="B58" s="569" t="s">
        <v>640</v>
      </c>
    </row>
    <row r="59" spans="2:10" x14ac:dyDescent="0.25">
      <c r="B59" s="590"/>
      <c r="C59" s="141"/>
      <c r="D59" s="141"/>
      <c r="E59" s="141"/>
      <c r="F59" s="141"/>
      <c r="G59" s="141"/>
      <c r="H59" s="141"/>
      <c r="I59" s="141"/>
      <c r="J59" s="90"/>
    </row>
    <row r="60" spans="2:10" s="341" customFormat="1" x14ac:dyDescent="0.25">
      <c r="B60" s="2115" t="str">
        <f>Design!B1</f>
        <v>CPWS SCHEME TO                                                                                                       DISTRICT</v>
      </c>
      <c r="C60" s="2116"/>
      <c r="D60" s="2116"/>
      <c r="E60" s="2116"/>
      <c r="F60" s="2116"/>
      <c r="G60" s="2116"/>
      <c r="H60" s="2116"/>
      <c r="I60" s="2117"/>
      <c r="J60" s="591"/>
    </row>
    <row r="61" spans="2:10" s="341" customFormat="1" x14ac:dyDescent="0.25">
      <c r="B61" s="592" t="s">
        <v>641</v>
      </c>
      <c r="C61" s="593" t="s">
        <v>284</v>
      </c>
      <c r="D61" s="592"/>
      <c r="E61" s="594" t="s">
        <v>642</v>
      </c>
      <c r="F61" s="592"/>
      <c r="G61" s="594" t="s">
        <v>139</v>
      </c>
      <c r="H61" s="594" t="s">
        <v>140</v>
      </c>
      <c r="I61" s="594" t="s">
        <v>141</v>
      </c>
      <c r="J61" s="591"/>
    </row>
    <row r="62" spans="2:10" s="344" customFormat="1" ht="60.75" customHeight="1" x14ac:dyDescent="0.25">
      <c r="B62" s="595">
        <v>1</v>
      </c>
      <c r="C62" s="2098" t="str">
        <f>+CONCATENATE("SS tank Bund Stripping by machinery and disposing the excavted soil to a distance of ", F63,"  , including conveyance ect, complete")</f>
        <v>SS tank Bund Stripping by machinery and disposing the excavted soil to a distance of 1000 mts  , including conveyance ect, complete</v>
      </c>
      <c r="D62" s="2099"/>
      <c r="E62" s="2099"/>
      <c r="F62" s="2099"/>
      <c r="G62" s="343"/>
      <c r="H62" s="343"/>
      <c r="I62" s="343"/>
    </row>
    <row r="63" spans="2:10" s="344" customFormat="1" x14ac:dyDescent="0.25">
      <c r="B63" s="595"/>
      <c r="C63" s="596"/>
      <c r="D63" s="597"/>
      <c r="E63" s="598"/>
      <c r="F63" s="599" t="s">
        <v>643</v>
      </c>
      <c r="G63" s="343"/>
      <c r="H63" s="343"/>
      <c r="I63" s="343"/>
    </row>
    <row r="64" spans="2:10" s="344" customFormat="1" x14ac:dyDescent="0.25">
      <c r="B64" s="595"/>
      <c r="C64" s="596"/>
      <c r="D64" s="600">
        <f>+F33</f>
        <v>885.6</v>
      </c>
      <c r="E64" s="600">
        <f>+C12</f>
        <v>21.4</v>
      </c>
      <c r="F64" s="601">
        <v>0.2</v>
      </c>
      <c r="G64" s="354">
        <f>+D64*E64*F64</f>
        <v>3790.3680000000004</v>
      </c>
      <c r="H64" s="600">
        <f>Data!I1460</f>
        <v>98.2</v>
      </c>
      <c r="I64" s="354">
        <f>+ROUND(H64*G64,0)</f>
        <v>372214</v>
      </c>
    </row>
    <row r="65" spans="2:13" s="344" customFormat="1" x14ac:dyDescent="0.25">
      <c r="B65" s="595"/>
      <c r="C65" s="596"/>
      <c r="D65" s="600"/>
      <c r="E65" s="354"/>
      <c r="F65" s="601"/>
      <c r="G65" s="354"/>
      <c r="H65" s="600"/>
      <c r="I65" s="354"/>
    </row>
    <row r="66" spans="2:13" s="344" customFormat="1" ht="51" customHeight="1" x14ac:dyDescent="0.25">
      <c r="B66" s="595">
        <v>2</v>
      </c>
      <c r="C66" s="2101" t="s">
        <v>644</v>
      </c>
      <c r="D66" s="2099"/>
      <c r="E66" s="2099"/>
      <c r="F66" s="2099"/>
      <c r="G66" s="343"/>
      <c r="H66" s="343"/>
      <c r="I66" s="343"/>
    </row>
    <row r="67" spans="2:13" s="344" customFormat="1" x14ac:dyDescent="0.25">
      <c r="B67" s="602"/>
      <c r="C67" s="354" t="s">
        <v>645</v>
      </c>
      <c r="D67" s="343"/>
      <c r="E67" s="603">
        <f>+F33</f>
        <v>885.6</v>
      </c>
      <c r="F67" s="600">
        <f>+H33</f>
        <v>7.9999999999999991</v>
      </c>
      <c r="G67" s="600">
        <f>+F67*E67</f>
        <v>7084.7999999999993</v>
      </c>
      <c r="H67" s="343"/>
      <c r="I67" s="604"/>
    </row>
    <row r="68" spans="2:13" s="344" customFormat="1" x14ac:dyDescent="0.25">
      <c r="B68" s="602"/>
      <c r="C68" s="354" t="s">
        <v>646</v>
      </c>
      <c r="D68" s="343"/>
      <c r="E68" s="603">
        <f>+F45</f>
        <v>797.6</v>
      </c>
      <c r="F68" s="354">
        <f>0.6*0.6</f>
        <v>0.36</v>
      </c>
      <c r="G68" s="600">
        <f>+F68*E68</f>
        <v>287.13600000000002</v>
      </c>
      <c r="H68" s="343"/>
      <c r="I68" s="604"/>
    </row>
    <row r="69" spans="2:13" s="344" customFormat="1" x14ac:dyDescent="0.25">
      <c r="B69" s="602"/>
      <c r="C69" s="354" t="s">
        <v>647</v>
      </c>
      <c r="D69" s="343"/>
      <c r="E69" s="343"/>
      <c r="F69" s="343"/>
      <c r="G69" s="600">
        <f>+H18</f>
        <v>0</v>
      </c>
      <c r="H69" s="354"/>
      <c r="I69" s="354"/>
    </row>
    <row r="70" spans="2:13" s="344" customFormat="1" x14ac:dyDescent="0.25">
      <c r="B70" s="602"/>
      <c r="C70" s="343"/>
      <c r="D70" s="343"/>
      <c r="E70" s="603"/>
      <c r="F70" s="600"/>
      <c r="G70" s="605">
        <f>SUM(G67:G69)</f>
        <v>7371.9359999999997</v>
      </c>
      <c r="H70" s="347">
        <f>Data!I1599</f>
        <v>54</v>
      </c>
      <c r="I70" s="604">
        <f>+ROUND(H70*G70,0)</f>
        <v>398085</v>
      </c>
    </row>
    <row r="71" spans="2:13" s="344" customFormat="1" ht="57.75" customHeight="1" x14ac:dyDescent="0.25">
      <c r="B71" s="595">
        <v>3</v>
      </c>
      <c r="C71" s="2101" t="s">
        <v>648</v>
      </c>
      <c r="D71" s="2099"/>
      <c r="E71" s="2099"/>
      <c r="F71" s="2099"/>
      <c r="G71" s="606"/>
      <c r="H71" s="606"/>
      <c r="I71" s="607"/>
      <c r="J71" s="608"/>
    </row>
    <row r="72" spans="2:13" s="344" customFormat="1" x14ac:dyDescent="0.25">
      <c r="B72" s="342"/>
      <c r="C72" s="354" t="s">
        <v>649</v>
      </c>
      <c r="D72" s="343"/>
      <c r="E72" s="600">
        <f>+F33</f>
        <v>885.6</v>
      </c>
      <c r="F72" s="603">
        <f>+H33</f>
        <v>7.9999999999999991</v>
      </c>
      <c r="G72" s="600">
        <f>+F72*E72</f>
        <v>7084.7999999999993</v>
      </c>
      <c r="H72" s="600">
        <f>Data!I1546</f>
        <v>90.1</v>
      </c>
      <c r="I72" s="609">
        <f>+ROUND(H72*G72,0)</f>
        <v>638340</v>
      </c>
      <c r="J72" s="608"/>
    </row>
    <row r="73" spans="2:13" s="610" customFormat="1" ht="78.75" customHeight="1" x14ac:dyDescent="0.25">
      <c r="B73" s="611">
        <v>4</v>
      </c>
      <c r="C73" s="2118" t="str">
        <f>+CONCATENATE("Consolidation of the Bund portion with already excavated soils with in the bed/Work spot  and consolidation by 8-10T power roller to procter density including seignorage charges watering with intial lead of 0.5 Km ect complete.")</f>
        <v>Consolidation of the Bund portion with already excavated soils with in the bed/Work spot  and consolidation by 8-10T power roller to procter density including seignorage charges watering with intial lead of 0.5 Km ect complete.</v>
      </c>
      <c r="D73" s="2119"/>
      <c r="E73" s="2119"/>
      <c r="F73" s="2119"/>
      <c r="G73" s="612"/>
      <c r="H73" s="612"/>
      <c r="I73" s="613"/>
      <c r="K73" s="610" t="s">
        <v>650</v>
      </c>
      <c r="L73" s="614"/>
      <c r="M73" s="1962" t="s">
        <v>2159</v>
      </c>
    </row>
    <row r="74" spans="2:13" s="610" customFormat="1" x14ac:dyDescent="0.25">
      <c r="B74" s="615"/>
      <c r="C74" s="616"/>
      <c r="D74" s="617">
        <f>G16</f>
        <v>263.5</v>
      </c>
      <c r="E74" s="618">
        <f>H16</f>
        <v>223.5</v>
      </c>
      <c r="F74" s="618">
        <v>0.75</v>
      </c>
      <c r="G74" s="618">
        <f>D74*E74*F74</f>
        <v>44169.1875</v>
      </c>
      <c r="H74" s="618">
        <f>H77</f>
        <v>396.7</v>
      </c>
      <c r="I74" s="619">
        <f>+ROUND(H74*G74,0)</f>
        <v>17521917</v>
      </c>
      <c r="J74" s="620"/>
    </row>
    <row r="75" spans="2:13" s="344" customFormat="1" x14ac:dyDescent="0.25">
      <c r="B75" s="342"/>
      <c r="C75" s="343"/>
      <c r="D75" s="603"/>
      <c r="E75" s="600"/>
      <c r="F75" s="600"/>
      <c r="G75" s="600"/>
      <c r="H75" s="600"/>
      <c r="I75" s="609"/>
      <c r="J75" s="608"/>
    </row>
    <row r="76" spans="2:13" s="344" customFormat="1" ht="89.25" customHeight="1" x14ac:dyDescent="0.25">
      <c r="B76" s="342">
        <v>4</v>
      </c>
      <c r="C76" s="2113" t="str">
        <f>+CONCATENATE("Consolidation of the Bund portion with borrowed soils with a lead of ",Data!I1611," km  and consolidation by 8-10T power roller to procter density including seignorage charges watering with intial lead of 0.5 Km ect complete.")</f>
        <v>Consolidation of the Bund portion with borrowed soils with a lead of 5 km  and consolidation by 8-10T power roller to procter density including seignorage charges watering with intial lead of 0.5 Km ect complete.</v>
      </c>
      <c r="D76" s="2114"/>
      <c r="E76" s="2114"/>
      <c r="F76" s="2114"/>
      <c r="G76" s="600"/>
      <c r="H76" s="600"/>
      <c r="I76" s="609"/>
      <c r="J76" s="608"/>
      <c r="K76" s="621" t="s">
        <v>651</v>
      </c>
    </row>
    <row r="77" spans="2:13" s="344" customFormat="1" x14ac:dyDescent="0.25">
      <c r="B77" s="342"/>
      <c r="C77" s="343"/>
      <c r="D77" s="603">
        <f>F37</f>
        <v>885.6</v>
      </c>
      <c r="E77" s="600">
        <f>H37</f>
        <v>56.11999999999999</v>
      </c>
      <c r="F77" s="600">
        <f>J37</f>
        <v>49699.871999999996</v>
      </c>
      <c r="G77" s="600">
        <f>F77</f>
        <v>49699.871999999996</v>
      </c>
      <c r="H77" s="600">
        <f>Data!I1719</f>
        <v>396.7</v>
      </c>
      <c r="I77" s="609">
        <f>+ROUND(H77*G77,0)</f>
        <v>19715939</v>
      </c>
      <c r="J77" s="608"/>
    </row>
    <row r="78" spans="2:13" s="344" customFormat="1" x14ac:dyDescent="0.25">
      <c r="B78" s="342"/>
      <c r="C78" s="343"/>
      <c r="D78" s="603"/>
      <c r="E78" s="600"/>
      <c r="F78" s="600"/>
      <c r="G78" s="622"/>
      <c r="H78" s="600"/>
      <c r="I78" s="609"/>
      <c r="J78" s="608"/>
    </row>
    <row r="79" spans="2:13" s="344" customFormat="1" ht="69" customHeight="1" x14ac:dyDescent="0.25">
      <c r="B79" s="595">
        <v>5</v>
      </c>
      <c r="C79" s="2101" t="s">
        <v>2099</v>
      </c>
      <c r="D79" s="2099"/>
      <c r="E79" s="2099"/>
      <c r="F79" s="2099"/>
      <c r="G79" s="343"/>
      <c r="H79" s="343"/>
      <c r="I79" s="607"/>
      <c r="J79" s="608"/>
    </row>
    <row r="80" spans="2:13" s="344" customFormat="1" x14ac:dyDescent="0.25">
      <c r="B80" s="602"/>
      <c r="C80" s="343"/>
      <c r="D80" s="343"/>
      <c r="E80" s="600">
        <f>+F47</f>
        <v>885.6</v>
      </c>
      <c r="F80" s="600">
        <f>+H47</f>
        <v>3</v>
      </c>
      <c r="G80" s="605">
        <f>+F80*E80*0.15</f>
        <v>398.52000000000004</v>
      </c>
      <c r="H80" s="600">
        <f>Data!I1768</f>
        <v>787.9</v>
      </c>
      <c r="I80" s="609">
        <f>+ROUND(H80*G80,0)</f>
        <v>313994</v>
      </c>
      <c r="J80" s="608"/>
    </row>
    <row r="81" spans="2:12" s="344" customFormat="1" x14ac:dyDescent="0.25">
      <c r="B81" s="602"/>
      <c r="C81" s="343"/>
      <c r="D81" s="343"/>
      <c r="E81" s="603"/>
      <c r="F81" s="600"/>
      <c r="G81" s="605"/>
      <c r="H81" s="600"/>
      <c r="I81" s="609"/>
      <c r="J81" s="608"/>
    </row>
    <row r="82" spans="2:12" s="344" customFormat="1" ht="61.5" customHeight="1" x14ac:dyDescent="0.25">
      <c r="B82" s="595"/>
      <c r="C82" s="2098" t="s">
        <v>2098</v>
      </c>
      <c r="D82" s="2099"/>
      <c r="E82" s="2099"/>
      <c r="F82" s="2099"/>
      <c r="G82" s="623"/>
      <c r="H82" s="600"/>
      <c r="I82" s="609"/>
      <c r="J82" s="608"/>
    </row>
    <row r="83" spans="2:12" s="344" customFormat="1" x14ac:dyDescent="0.25">
      <c r="B83" s="595"/>
      <c r="C83" s="596"/>
      <c r="D83" s="624">
        <f>+F43</f>
        <v>836.8</v>
      </c>
      <c r="E83" s="624">
        <f>+H43</f>
        <v>10.285912696499032</v>
      </c>
      <c r="F83" s="625">
        <v>0.15</v>
      </c>
      <c r="G83" s="605">
        <f>+D83*E83*F83</f>
        <v>1291.0877616645585</v>
      </c>
      <c r="H83" s="600">
        <f>Data!I2168</f>
        <v>962.1</v>
      </c>
      <c r="I83" s="609">
        <f>+ROUNDUP(H83*G83,0)</f>
        <v>1242156</v>
      </c>
      <c r="J83" s="608"/>
    </row>
    <row r="84" spans="2:12" s="344" customFormat="1" x14ac:dyDescent="0.25">
      <c r="B84" s="595"/>
      <c r="C84" s="596"/>
      <c r="D84" s="624"/>
      <c r="E84" s="624"/>
      <c r="F84" s="625"/>
      <c r="G84" s="605"/>
      <c r="H84" s="600"/>
      <c r="I84" s="609"/>
      <c r="J84" s="608"/>
    </row>
    <row r="85" spans="2:12" s="344" customFormat="1" ht="108" customHeight="1" x14ac:dyDescent="0.25">
      <c r="B85" s="595"/>
      <c r="C85" s="2098" t="s">
        <v>652</v>
      </c>
      <c r="D85" s="2099"/>
      <c r="E85" s="2099"/>
      <c r="F85" s="2099"/>
      <c r="G85" s="343"/>
      <c r="H85" s="343"/>
      <c r="I85" s="607"/>
      <c r="J85" s="608"/>
    </row>
    <row r="86" spans="2:12" s="344" customFormat="1" x14ac:dyDescent="0.25">
      <c r="B86" s="602"/>
      <c r="C86" s="343"/>
      <c r="D86" s="600">
        <f>+F43</f>
        <v>836.8</v>
      </c>
      <c r="E86" s="600">
        <f>+H43</f>
        <v>10.285912696499032</v>
      </c>
      <c r="F86" s="600"/>
      <c r="G86" s="605">
        <f>+D86*E86</f>
        <v>8607.2517444303903</v>
      </c>
      <c r="H86" s="600">
        <f>Data!I2074</f>
        <v>6377.3</v>
      </c>
      <c r="I86" s="609">
        <f>+ROUND(H86*G86*0.1,0)</f>
        <v>5489103</v>
      </c>
      <c r="J86" s="608"/>
    </row>
    <row r="87" spans="2:12" s="344" customFormat="1" x14ac:dyDescent="0.25">
      <c r="B87" s="602"/>
      <c r="C87" s="1935" t="s">
        <v>653</v>
      </c>
      <c r="D87" s="600">
        <v>2</v>
      </c>
      <c r="E87" s="600">
        <f>D86</f>
        <v>836.8</v>
      </c>
      <c r="F87" s="600">
        <v>0.5</v>
      </c>
      <c r="G87" s="605">
        <f>D87*E87*F87</f>
        <v>836.8</v>
      </c>
      <c r="H87" s="600">
        <f>H86</f>
        <v>6377.3</v>
      </c>
      <c r="I87" s="609">
        <f>+ROUND(H87*G87*0.1,0)</f>
        <v>533652</v>
      </c>
      <c r="J87" s="608"/>
    </row>
    <row r="88" spans="2:12" s="344" customFormat="1" x14ac:dyDescent="0.25">
      <c r="B88" s="602"/>
      <c r="C88" s="343"/>
      <c r="D88" s="603"/>
      <c r="E88" s="600"/>
      <c r="F88" s="600"/>
      <c r="G88" s="605"/>
      <c r="H88" s="600"/>
      <c r="I88" s="609"/>
      <c r="J88" s="608"/>
    </row>
    <row r="89" spans="2:12" s="344" customFormat="1" ht="56.25" customHeight="1" x14ac:dyDescent="0.25">
      <c r="B89" s="602"/>
      <c r="C89" s="2098" t="s">
        <v>2097</v>
      </c>
      <c r="D89" s="2099"/>
      <c r="E89" s="2099"/>
      <c r="F89" s="2099"/>
      <c r="G89" s="600"/>
      <c r="H89" s="600"/>
      <c r="I89" s="609"/>
      <c r="J89" s="608"/>
    </row>
    <row r="90" spans="2:12" s="344" customFormat="1" x14ac:dyDescent="0.25">
      <c r="B90" s="602"/>
      <c r="C90" s="1935" t="s">
        <v>654</v>
      </c>
      <c r="D90" s="603">
        <f>L90</f>
        <v>30</v>
      </c>
      <c r="E90" s="600">
        <v>9.73</v>
      </c>
      <c r="F90" s="600" t="s">
        <v>655</v>
      </c>
      <c r="G90" s="605">
        <f>36*9.73*0.3*0.23</f>
        <v>24.169320000000003</v>
      </c>
      <c r="H90" s="600">
        <f>Data!I59</f>
        <v>5442.3</v>
      </c>
      <c r="I90" s="609">
        <f>+ROUND(H90*G90,0)</f>
        <v>131537</v>
      </c>
      <c r="J90" s="608"/>
      <c r="L90" s="344">
        <f>ROUND(D86/30,0)+2</f>
        <v>30</v>
      </c>
    </row>
    <row r="91" spans="2:12" s="344" customFormat="1" x14ac:dyDescent="0.25">
      <c r="B91" s="602"/>
      <c r="C91" s="343"/>
      <c r="D91" s="603"/>
      <c r="E91" s="600"/>
      <c r="F91" s="600"/>
      <c r="G91" s="600"/>
      <c r="H91" s="600"/>
      <c r="I91" s="609"/>
      <c r="J91" s="608"/>
    </row>
    <row r="92" spans="2:12" s="344" customFormat="1" ht="47.25" customHeight="1" x14ac:dyDescent="0.25">
      <c r="B92" s="595"/>
      <c r="C92" s="2098" t="s">
        <v>656</v>
      </c>
      <c r="D92" s="2099"/>
      <c r="E92" s="2099"/>
      <c r="F92" s="2099"/>
      <c r="G92" s="343"/>
      <c r="H92" s="343"/>
      <c r="I92" s="607"/>
      <c r="J92" s="608"/>
    </row>
    <row r="93" spans="2:12" s="344" customFormat="1" x14ac:dyDescent="0.25">
      <c r="B93" s="602"/>
      <c r="C93" s="1936" t="s">
        <v>657</v>
      </c>
      <c r="D93" s="603">
        <f>+F45</f>
        <v>797.6</v>
      </c>
      <c r="E93" s="600">
        <v>0.6</v>
      </c>
      <c r="F93" s="600">
        <v>0.6</v>
      </c>
      <c r="G93" s="605">
        <f>+F93*E93*D93</f>
        <v>287.13600000000002</v>
      </c>
      <c r="H93" s="343"/>
      <c r="I93" s="343"/>
      <c r="J93" s="608"/>
    </row>
    <row r="94" spans="2:12" s="344" customFormat="1" x14ac:dyDescent="0.25">
      <c r="B94" s="602"/>
      <c r="C94" s="626"/>
      <c r="D94" s="343"/>
      <c r="E94" s="343"/>
      <c r="F94" s="627" t="s">
        <v>23</v>
      </c>
      <c r="G94" s="628">
        <f>SUM(G93:G93)</f>
        <v>287.13600000000002</v>
      </c>
      <c r="H94" s="600">
        <f>Data!I44</f>
        <v>4470.5</v>
      </c>
      <c r="I94" s="609">
        <f>+ROUND(H94*G94,0)</f>
        <v>1283641</v>
      </c>
      <c r="J94" s="608"/>
    </row>
    <row r="95" spans="2:12" s="344" customFormat="1" ht="94.15" customHeight="1" x14ac:dyDescent="0.25">
      <c r="B95" s="595">
        <v>9</v>
      </c>
      <c r="C95" s="2098" t="s">
        <v>658</v>
      </c>
      <c r="D95" s="2099"/>
      <c r="E95" s="2099"/>
      <c r="F95" s="2099"/>
      <c r="G95" s="629"/>
      <c r="H95" s="606"/>
      <c r="I95" s="607"/>
      <c r="J95" s="608"/>
    </row>
    <row r="96" spans="2:12" s="344" customFormat="1" x14ac:dyDescent="0.25">
      <c r="B96" s="342"/>
      <c r="C96" s="343" t="s">
        <v>659</v>
      </c>
      <c r="D96" s="603">
        <f>F49</f>
        <v>959.60000000000014</v>
      </c>
      <c r="E96" s="600">
        <v>2.5</v>
      </c>
      <c r="F96" s="600">
        <v>1.2</v>
      </c>
      <c r="G96" s="600">
        <f>+D96*E96*F96</f>
        <v>2878.8000000000006</v>
      </c>
      <c r="H96" s="600">
        <f>Data!I1878</f>
        <v>1127.0999999999999</v>
      </c>
      <c r="I96" s="609">
        <f>+ROUND(H96*G96,0)</f>
        <v>3244695</v>
      </c>
      <c r="J96" s="608"/>
    </row>
    <row r="97" spans="2:11" s="344" customFormat="1" ht="46.9" customHeight="1" x14ac:dyDescent="0.25">
      <c r="B97" s="595">
        <v>10</v>
      </c>
      <c r="C97" s="2098" t="s">
        <v>660</v>
      </c>
      <c r="D97" s="2099"/>
      <c r="E97" s="2099"/>
      <c r="F97" s="2099"/>
      <c r="G97" s="629"/>
      <c r="H97" s="606"/>
      <c r="I97" s="607"/>
      <c r="J97" s="608"/>
    </row>
    <row r="98" spans="2:11" s="344" customFormat="1" x14ac:dyDescent="0.25">
      <c r="B98" s="342"/>
      <c r="C98" s="343"/>
      <c r="D98" s="603">
        <f>+F35</f>
        <v>921.6</v>
      </c>
      <c r="E98" s="600">
        <f>+I9*C9-I5*0.5</f>
        <v>7.6999999999999993</v>
      </c>
      <c r="F98" s="600">
        <v>0.9</v>
      </c>
      <c r="G98" s="600">
        <f>+D98*E98*F98</f>
        <v>6386.6880000000001</v>
      </c>
      <c r="H98" s="600">
        <f>Data!I1812</f>
        <v>879.2</v>
      </c>
      <c r="I98" s="609">
        <f>+ROUND(H98*G98,0)</f>
        <v>5615176</v>
      </c>
      <c r="J98" s="608"/>
    </row>
    <row r="99" spans="2:11" s="344" customFormat="1" ht="51" customHeight="1" x14ac:dyDescent="0.25">
      <c r="B99" s="595">
        <v>11</v>
      </c>
      <c r="C99" s="2098" t="s">
        <v>661</v>
      </c>
      <c r="D99" s="2099"/>
      <c r="E99" s="2099"/>
      <c r="F99" s="2099"/>
      <c r="G99" s="343"/>
      <c r="H99" s="343"/>
      <c r="I99" s="607"/>
      <c r="J99" s="608"/>
    </row>
    <row r="100" spans="2:11" s="344" customFormat="1" x14ac:dyDescent="0.25">
      <c r="B100" s="602"/>
      <c r="C100" s="343"/>
      <c r="D100" s="603">
        <f>+F55</f>
        <v>928.4</v>
      </c>
      <c r="E100" s="600">
        <v>0.9</v>
      </c>
      <c r="F100" s="600">
        <v>0.3</v>
      </c>
      <c r="G100" s="600">
        <f>+D100*E100*F100</f>
        <v>250.66799999999998</v>
      </c>
      <c r="H100" s="600">
        <f>Data!I1927</f>
        <v>1067.5999999999999</v>
      </c>
      <c r="I100" s="609">
        <f>+ROUND(H100*G100,0)</f>
        <v>267613</v>
      </c>
      <c r="J100" s="608"/>
    </row>
    <row r="101" spans="2:11" s="344" customFormat="1" ht="69" customHeight="1" x14ac:dyDescent="0.25">
      <c r="B101" s="595">
        <v>6</v>
      </c>
      <c r="C101" s="2098" t="s">
        <v>662</v>
      </c>
      <c r="D101" s="2099"/>
      <c r="E101" s="2099"/>
      <c r="F101" s="2099"/>
      <c r="G101" s="343"/>
      <c r="H101" s="343"/>
      <c r="I101" s="343"/>
      <c r="J101" s="608"/>
    </row>
    <row r="102" spans="2:11" s="344" customFormat="1" x14ac:dyDescent="0.25">
      <c r="B102" s="342"/>
      <c r="C102" s="343"/>
      <c r="D102" s="343"/>
      <c r="E102" s="343"/>
      <c r="F102" s="343"/>
      <c r="G102" s="600">
        <f>+D86*E86</f>
        <v>8607.2517444303903</v>
      </c>
      <c r="H102" s="600">
        <f>Data!I2120</f>
        <v>74.3</v>
      </c>
      <c r="I102" s="609">
        <f>+ROUND(H102*G102,0)</f>
        <v>639519</v>
      </c>
      <c r="J102" s="608"/>
    </row>
    <row r="103" spans="2:11" s="344" customFormat="1" x14ac:dyDescent="0.25">
      <c r="B103" s="342"/>
      <c r="C103" s="343"/>
      <c r="D103" s="343"/>
      <c r="E103" s="343"/>
      <c r="F103" s="343"/>
      <c r="G103" s="600"/>
      <c r="H103" s="600"/>
      <c r="I103" s="609"/>
      <c r="J103" s="608"/>
    </row>
    <row r="104" spans="2:11" s="344" customFormat="1" x14ac:dyDescent="0.25">
      <c r="B104" s="342">
        <v>7</v>
      </c>
      <c r="C104" s="343" t="s">
        <v>663</v>
      </c>
      <c r="D104" s="343"/>
      <c r="E104" s="343"/>
      <c r="F104" s="343"/>
      <c r="G104" s="600"/>
      <c r="H104" s="600" t="s">
        <v>581</v>
      </c>
      <c r="I104" s="609">
        <v>200000</v>
      </c>
      <c r="J104" s="608"/>
    </row>
    <row r="105" spans="2:11" s="344" customFormat="1" x14ac:dyDescent="0.25">
      <c r="B105" s="342"/>
      <c r="C105" s="343"/>
      <c r="D105" s="343"/>
      <c r="E105" s="343"/>
      <c r="F105" s="343"/>
      <c r="G105" s="600"/>
      <c r="H105" s="600"/>
      <c r="I105" s="609"/>
      <c r="J105" s="608"/>
    </row>
    <row r="106" spans="2:11" s="344" customFormat="1" x14ac:dyDescent="0.25">
      <c r="B106" s="595">
        <v>8</v>
      </c>
      <c r="C106" s="354" t="s">
        <v>664</v>
      </c>
      <c r="D106" s="343"/>
      <c r="E106" s="606"/>
      <c r="F106" s="343"/>
      <c r="G106" s="343"/>
      <c r="H106" s="343"/>
      <c r="I106" s="630">
        <v>20000</v>
      </c>
      <c r="J106" s="608"/>
    </row>
    <row r="107" spans="2:11" s="344" customFormat="1" x14ac:dyDescent="0.25">
      <c r="B107" s="595"/>
      <c r="C107" s="354"/>
      <c r="D107" s="343"/>
      <c r="E107" s="606"/>
      <c r="F107" s="343"/>
      <c r="G107" s="343"/>
      <c r="H107" s="343"/>
      <c r="I107" s="630"/>
      <c r="J107" s="608"/>
    </row>
    <row r="108" spans="2:11" s="344" customFormat="1" x14ac:dyDescent="0.25">
      <c r="B108" s="595">
        <v>9</v>
      </c>
      <c r="C108" s="354" t="s">
        <v>563</v>
      </c>
      <c r="D108" s="343"/>
      <c r="E108" s="343"/>
      <c r="F108" s="343"/>
      <c r="G108" s="343"/>
      <c r="H108" s="343"/>
      <c r="I108" s="631">
        <f>+I110-SUM(I64:I106)</f>
        <v>72419</v>
      </c>
      <c r="J108" s="608"/>
    </row>
    <row r="109" spans="2:11" s="344" customFormat="1" x14ac:dyDescent="0.25">
      <c r="B109" s="595"/>
      <c r="C109" s="354"/>
      <c r="D109" s="343"/>
      <c r="E109" s="343"/>
      <c r="F109" s="343"/>
      <c r="G109" s="343"/>
      <c r="H109" s="343"/>
      <c r="I109" s="631"/>
      <c r="J109" s="608"/>
    </row>
    <row r="110" spans="2:11" s="344" customFormat="1" x14ac:dyDescent="0.25">
      <c r="B110" s="602"/>
      <c r="C110" s="343"/>
      <c r="D110" s="347"/>
      <c r="E110" s="347"/>
      <c r="F110" s="347"/>
      <c r="G110" s="347"/>
      <c r="H110" s="632" t="s">
        <v>23</v>
      </c>
      <c r="I110" s="364">
        <f>CEILING(SUM(I62:I107),100000)</f>
        <v>57700000</v>
      </c>
      <c r="J110" s="608"/>
      <c r="K110" s="633"/>
    </row>
    <row r="111" spans="2:11" x14ac:dyDescent="0.25">
      <c r="B111" s="634"/>
      <c r="C111" s="90"/>
      <c r="D111" s="90"/>
      <c r="E111" s="90"/>
      <c r="F111" s="90"/>
      <c r="G111" s="90"/>
      <c r="H111" s="90"/>
      <c r="I111" s="635"/>
      <c r="J111" s="581"/>
    </row>
    <row r="112" spans="2:11" x14ac:dyDescent="0.25">
      <c r="B112" s="634"/>
      <c r="C112" s="90"/>
      <c r="D112" s="90"/>
      <c r="E112" s="90"/>
      <c r="F112" s="90"/>
      <c r="G112" s="90"/>
      <c r="H112" s="90"/>
      <c r="I112" s="90"/>
      <c r="J112" s="581"/>
      <c r="K112" s="636"/>
    </row>
    <row r="113" spans="2:10" x14ac:dyDescent="0.25">
      <c r="B113" s="634"/>
      <c r="C113" s="90"/>
      <c r="D113" s="150"/>
      <c r="E113" s="150"/>
      <c r="F113" s="150"/>
      <c r="G113" s="150"/>
      <c r="H113" s="150"/>
      <c r="I113" s="637"/>
      <c r="J113" s="581"/>
    </row>
    <row r="114" spans="2:10" s="367" customFormat="1" ht="12.75" x14ac:dyDescent="0.2">
      <c r="B114" s="368"/>
      <c r="D114" s="369"/>
      <c r="G114" s="369"/>
      <c r="I114" s="370"/>
      <c r="J114" s="371"/>
    </row>
    <row r="115" spans="2:10" s="367" customFormat="1" ht="12.75" x14ac:dyDescent="0.2">
      <c r="B115" s="368"/>
      <c r="D115" s="369"/>
      <c r="G115" s="369"/>
      <c r="I115" s="369"/>
      <c r="J115" s="371"/>
    </row>
    <row r="116" spans="2:10" s="367" customFormat="1" ht="12.75" x14ac:dyDescent="0.2">
      <c r="B116" s="368"/>
      <c r="C116" s="369"/>
      <c r="D116" s="369"/>
      <c r="E116" s="372"/>
      <c r="F116" s="372"/>
      <c r="G116" s="372"/>
      <c r="H116" s="372"/>
      <c r="I116" s="373"/>
      <c r="J116" s="371"/>
    </row>
    <row r="117" spans="2:10" s="367" customFormat="1" ht="12.75" x14ac:dyDescent="0.2">
      <c r="B117" s="368"/>
      <c r="C117" s="369"/>
      <c r="D117" s="369"/>
      <c r="E117" s="369"/>
      <c r="F117" s="369"/>
      <c r="G117" s="369"/>
      <c r="H117" s="369"/>
      <c r="I117" s="369"/>
      <c r="J117" s="371"/>
    </row>
    <row r="118" spans="2:10" s="367" customFormat="1" ht="12.75" x14ac:dyDescent="0.2">
      <c r="B118" s="374"/>
      <c r="C118" s="369"/>
      <c r="D118" s="369"/>
      <c r="E118" s="372"/>
      <c r="F118" s="372"/>
      <c r="G118" s="368"/>
      <c r="H118" s="372"/>
      <c r="I118" s="369"/>
      <c r="J118" s="371"/>
    </row>
    <row r="119" spans="2:10" s="367" customFormat="1" ht="12.75" x14ac:dyDescent="0.2">
      <c r="B119" s="368"/>
      <c r="C119" s="369"/>
      <c r="D119" s="369"/>
      <c r="E119" s="372"/>
      <c r="F119" s="372"/>
      <c r="G119" s="368"/>
      <c r="H119" s="372"/>
      <c r="I119" s="369"/>
      <c r="J119" s="371"/>
    </row>
    <row r="120" spans="2:10" x14ac:dyDescent="0.25">
      <c r="B120" s="634"/>
      <c r="C120" s="90"/>
      <c r="D120" s="90"/>
      <c r="E120" s="638"/>
      <c r="F120" s="638"/>
      <c r="G120" s="638"/>
      <c r="H120" s="638"/>
      <c r="I120" s="90"/>
      <c r="J120" s="581"/>
    </row>
    <row r="121" spans="2:10" x14ac:dyDescent="0.25">
      <c r="B121" s="375"/>
      <c r="C121" s="90"/>
      <c r="D121" s="90"/>
      <c r="E121" s="90"/>
      <c r="F121" s="90"/>
      <c r="G121" s="90"/>
      <c r="H121" s="90"/>
      <c r="I121" s="90"/>
      <c r="J121" s="581"/>
    </row>
    <row r="122" spans="2:10" x14ac:dyDescent="0.25">
      <c r="B122" s="375"/>
      <c r="C122" s="90"/>
      <c r="D122" s="90"/>
      <c r="E122" s="90"/>
      <c r="F122" s="90"/>
      <c r="G122" s="90"/>
      <c r="H122" s="90"/>
      <c r="I122" s="90"/>
      <c r="J122" s="581"/>
    </row>
    <row r="123" spans="2:10" x14ac:dyDescent="0.25">
      <c r="B123" s="375"/>
      <c r="C123" s="90"/>
      <c r="D123" s="90"/>
      <c r="E123" s="90"/>
      <c r="F123" s="90"/>
      <c r="G123" s="90"/>
      <c r="H123" s="90"/>
      <c r="I123" s="90"/>
      <c r="J123" s="581"/>
    </row>
    <row r="124" spans="2:10" x14ac:dyDescent="0.25">
      <c r="B124" s="375"/>
      <c r="C124" s="90"/>
      <c r="D124" s="90"/>
      <c r="E124" s="90"/>
      <c r="F124" s="90"/>
      <c r="G124" s="90"/>
      <c r="H124" s="90"/>
      <c r="I124" s="90"/>
      <c r="J124" s="581"/>
    </row>
    <row r="125" spans="2:10" x14ac:dyDescent="0.25">
      <c r="B125" s="375"/>
      <c r="C125" s="90"/>
      <c r="D125" s="90"/>
      <c r="E125" s="90"/>
      <c r="F125" s="90"/>
      <c r="G125" s="90"/>
      <c r="H125" s="90"/>
      <c r="I125" s="90"/>
      <c r="J125" s="581"/>
    </row>
    <row r="126" spans="2:10" x14ac:dyDescent="0.25">
      <c r="B126" s="375"/>
      <c r="C126" s="90"/>
      <c r="D126" s="90"/>
      <c r="E126" s="90"/>
      <c r="F126" s="90"/>
      <c r="G126" s="90"/>
      <c r="H126" s="90"/>
      <c r="I126" s="152"/>
      <c r="J126" s="581"/>
    </row>
    <row r="127" spans="2:10" x14ac:dyDescent="0.25">
      <c r="B127" s="375"/>
      <c r="C127" s="90"/>
      <c r="D127" s="90"/>
      <c r="E127" s="90"/>
      <c r="F127" s="90"/>
      <c r="G127" s="90"/>
      <c r="H127" s="90"/>
      <c r="I127" s="90"/>
      <c r="J127" s="581"/>
    </row>
    <row r="128" spans="2:10" x14ac:dyDescent="0.25">
      <c r="B128" s="375"/>
      <c r="C128" s="90"/>
      <c r="D128" s="90"/>
      <c r="E128" s="90"/>
      <c r="F128" s="90"/>
      <c r="G128" s="152"/>
      <c r="H128" s="90"/>
      <c r="I128" s="90"/>
      <c r="J128" s="581"/>
    </row>
    <row r="129" spans="2:12" x14ac:dyDescent="0.25">
      <c r="B129" s="375"/>
      <c r="C129" s="90"/>
      <c r="D129" s="90"/>
      <c r="E129" s="90"/>
      <c r="F129" s="90"/>
      <c r="G129" s="90"/>
      <c r="H129" s="90"/>
      <c r="I129" s="90"/>
      <c r="J129" s="581"/>
    </row>
    <row r="130" spans="2:12" x14ac:dyDescent="0.25">
      <c r="B130" s="375"/>
      <c r="C130" s="90"/>
      <c r="D130" s="90"/>
      <c r="E130" s="90"/>
      <c r="F130" s="90"/>
      <c r="G130" s="90"/>
      <c r="H130" s="90"/>
      <c r="I130" s="639"/>
      <c r="J130" s="581"/>
    </row>
    <row r="131" spans="2:12" x14ac:dyDescent="0.25">
      <c r="B131" s="634"/>
      <c r="C131" s="90"/>
      <c r="D131" s="90"/>
      <c r="E131" s="90"/>
      <c r="F131" s="90"/>
      <c r="G131" s="90"/>
      <c r="H131" s="639"/>
      <c r="I131" s="639"/>
      <c r="J131" s="581"/>
      <c r="K131" s="581"/>
    </row>
    <row r="132" spans="2:12" x14ac:dyDescent="0.25">
      <c r="B132" s="375"/>
      <c r="C132" s="90"/>
      <c r="D132" s="90"/>
      <c r="E132" s="90"/>
      <c r="F132" s="90"/>
      <c r="G132" s="90"/>
      <c r="H132" s="90"/>
      <c r="I132" s="640"/>
      <c r="J132" s="641"/>
      <c r="K132" s="581"/>
    </row>
    <row r="133" spans="2:12" x14ac:dyDescent="0.25">
      <c r="B133" s="375"/>
      <c r="C133" s="90"/>
      <c r="D133" s="90"/>
      <c r="E133" s="90"/>
      <c r="F133" s="90"/>
      <c r="G133" s="90"/>
      <c r="H133" s="90"/>
      <c r="I133" s="640"/>
      <c r="J133" s="641"/>
      <c r="K133" s="581"/>
    </row>
    <row r="134" spans="2:12" x14ac:dyDescent="0.25">
      <c r="B134" s="375"/>
      <c r="C134" s="90"/>
      <c r="D134" s="90"/>
      <c r="E134" s="90"/>
      <c r="F134" s="90"/>
      <c r="G134" s="90"/>
      <c r="H134" s="90"/>
      <c r="I134" s="640"/>
      <c r="J134" s="641"/>
      <c r="K134" s="581"/>
    </row>
    <row r="135" spans="2:12" x14ac:dyDescent="0.25">
      <c r="B135" s="375"/>
      <c r="C135" s="90"/>
      <c r="D135" s="90"/>
      <c r="E135" s="90"/>
      <c r="F135" s="90"/>
      <c r="G135" s="90"/>
      <c r="H135" s="90"/>
      <c r="I135" s="640"/>
      <c r="J135" s="641"/>
      <c r="K135" s="581"/>
    </row>
    <row r="136" spans="2:12" x14ac:dyDescent="0.25">
      <c r="B136" s="375"/>
      <c r="C136" s="90"/>
      <c r="D136" s="90"/>
      <c r="E136" s="90"/>
      <c r="F136" s="90"/>
      <c r="G136" s="90"/>
      <c r="H136" s="90"/>
      <c r="I136" s="640"/>
      <c r="J136" s="641"/>
      <c r="K136" s="581"/>
    </row>
    <row r="137" spans="2:12" x14ac:dyDescent="0.25">
      <c r="B137" s="375"/>
      <c r="C137" s="90"/>
      <c r="D137" s="90"/>
      <c r="E137" s="90"/>
      <c r="F137" s="90"/>
      <c r="G137" s="642"/>
      <c r="H137" s="90"/>
      <c r="I137" s="639"/>
      <c r="J137" s="639"/>
      <c r="K137" s="90"/>
      <c r="L137" s="90"/>
    </row>
    <row r="138" spans="2:12" x14ac:dyDescent="0.25">
      <c r="B138" s="643"/>
      <c r="C138" s="644"/>
      <c r="D138" s="644"/>
      <c r="E138" s="644"/>
      <c r="F138" s="645"/>
      <c r="G138" s="644"/>
      <c r="H138" s="644"/>
      <c r="I138" s="646"/>
      <c r="J138" s="647"/>
      <c r="K138" s="648"/>
      <c r="L138" s="90"/>
    </row>
    <row r="139" spans="2:12" x14ac:dyDescent="0.25">
      <c r="B139" s="643"/>
      <c r="C139" s="649"/>
      <c r="D139" s="649"/>
      <c r="E139" s="649"/>
      <c r="F139" s="645"/>
      <c r="G139" s="649"/>
      <c r="H139" s="649"/>
      <c r="I139" s="649"/>
      <c r="J139" s="649"/>
      <c r="K139" s="650"/>
      <c r="L139" s="90"/>
    </row>
    <row r="140" spans="2:12" x14ac:dyDescent="0.25">
      <c r="B140" s="643"/>
      <c r="C140" s="649"/>
      <c r="D140" s="649"/>
      <c r="E140" s="649"/>
      <c r="F140" s="645"/>
      <c r="G140" s="651"/>
      <c r="H140" s="649"/>
      <c r="I140" s="649"/>
      <c r="J140" s="652"/>
      <c r="K140" s="650"/>
      <c r="L140" s="90"/>
    </row>
    <row r="141" spans="2:12" x14ac:dyDescent="0.25">
      <c r="B141" s="653"/>
      <c r="C141" s="650"/>
      <c r="D141" s="650"/>
      <c r="E141" s="650"/>
      <c r="F141" s="650"/>
      <c r="G141" s="650"/>
      <c r="H141" s="650"/>
      <c r="I141" s="650"/>
      <c r="J141" s="650"/>
      <c r="K141" s="650"/>
      <c r="L141" s="90"/>
    </row>
    <row r="142" spans="2:12" x14ac:dyDescent="0.25">
      <c r="B142" s="643"/>
      <c r="C142" s="650"/>
      <c r="D142" s="650"/>
      <c r="E142" s="650"/>
      <c r="F142" s="650"/>
      <c r="G142" s="650"/>
      <c r="H142" s="650"/>
      <c r="I142" s="650"/>
      <c r="J142" s="650"/>
      <c r="K142" s="650"/>
      <c r="L142" s="90"/>
    </row>
    <row r="143" spans="2:12" x14ac:dyDescent="0.25">
      <c r="B143" s="643"/>
      <c r="C143" s="649"/>
      <c r="D143" s="649"/>
      <c r="E143" s="649"/>
      <c r="F143" s="650"/>
      <c r="G143" s="649"/>
      <c r="H143" s="649"/>
      <c r="I143" s="650"/>
      <c r="J143" s="649"/>
      <c r="K143" s="650"/>
      <c r="L143" s="90"/>
    </row>
    <row r="144" spans="2:12" x14ac:dyDescent="0.25">
      <c r="B144" s="643"/>
      <c r="C144" s="650"/>
      <c r="D144" s="650"/>
      <c r="E144" s="650"/>
      <c r="F144" s="650"/>
      <c r="G144" s="650"/>
      <c r="H144" s="650"/>
      <c r="I144" s="650"/>
      <c r="J144" s="650"/>
      <c r="K144" s="650"/>
      <c r="L144" s="90"/>
    </row>
    <row r="145" spans="2:12" x14ac:dyDescent="0.25">
      <c r="B145" s="654"/>
      <c r="C145" s="650"/>
      <c r="D145" s="650"/>
      <c r="E145" s="650"/>
      <c r="F145" s="650"/>
      <c r="G145" s="650"/>
      <c r="H145" s="650"/>
      <c r="I145" s="650"/>
      <c r="J145" s="650"/>
      <c r="K145" s="650"/>
      <c r="L145" s="90"/>
    </row>
    <row r="146" spans="2:12" x14ac:dyDescent="0.25">
      <c r="B146" s="643"/>
      <c r="C146" s="650"/>
      <c r="D146" s="650"/>
      <c r="E146" s="650"/>
      <c r="F146" s="650"/>
      <c r="G146" s="650"/>
      <c r="H146" s="650"/>
      <c r="I146" s="650"/>
      <c r="J146" s="650"/>
      <c r="K146" s="650"/>
      <c r="L146" s="90"/>
    </row>
    <row r="147" spans="2:12" x14ac:dyDescent="0.25">
      <c r="B147" s="643"/>
      <c r="C147" s="395"/>
      <c r="D147" s="650"/>
      <c r="E147" s="650"/>
      <c r="F147" s="650"/>
      <c r="G147" s="650"/>
      <c r="H147" s="650"/>
      <c r="I147" s="650"/>
      <c r="J147" s="650"/>
      <c r="K147" s="650"/>
      <c r="L147" s="90"/>
    </row>
    <row r="148" spans="2:12" x14ac:dyDescent="0.25">
      <c r="B148" s="643"/>
      <c r="C148" s="650"/>
      <c r="D148" s="650"/>
      <c r="E148" s="650"/>
      <c r="F148" s="650"/>
      <c r="G148" s="650"/>
      <c r="H148" s="650"/>
      <c r="I148" s="650"/>
      <c r="J148" s="650"/>
      <c r="K148" s="650"/>
      <c r="L148" s="90"/>
    </row>
    <row r="149" spans="2:12" x14ac:dyDescent="0.25">
      <c r="B149" s="643"/>
      <c r="C149" s="650"/>
      <c r="D149" s="650"/>
      <c r="E149" s="650"/>
      <c r="F149" s="650"/>
      <c r="G149" s="650"/>
      <c r="H149" s="650"/>
      <c r="I149" s="650"/>
      <c r="J149" s="650"/>
      <c r="K149" s="650"/>
      <c r="L149" s="90"/>
    </row>
    <row r="150" spans="2:12" x14ac:dyDescent="0.25">
      <c r="B150" s="643"/>
      <c r="C150" s="650"/>
      <c r="D150" s="650"/>
      <c r="E150" s="650"/>
      <c r="F150" s="650"/>
      <c r="G150" s="650"/>
      <c r="H150" s="650"/>
      <c r="I150" s="650"/>
      <c r="J150" s="650"/>
      <c r="K150" s="650"/>
      <c r="L150" s="90"/>
    </row>
    <row r="151" spans="2:12" x14ac:dyDescent="0.25">
      <c r="B151" s="643"/>
      <c r="C151" s="650"/>
      <c r="D151" s="650"/>
      <c r="E151" s="650"/>
      <c r="F151" s="650"/>
      <c r="G151" s="655"/>
      <c r="H151" s="643"/>
      <c r="I151" s="650"/>
      <c r="J151" s="650"/>
      <c r="K151" s="650"/>
      <c r="L151" s="90"/>
    </row>
    <row r="152" spans="2:12" x14ac:dyDescent="0.25">
      <c r="B152" s="643"/>
      <c r="C152" s="650"/>
      <c r="D152" s="650"/>
      <c r="E152" s="650"/>
      <c r="F152" s="650"/>
      <c r="G152" s="650"/>
      <c r="H152" s="650"/>
      <c r="I152" s="650"/>
      <c r="J152" s="650"/>
      <c r="K152" s="650"/>
      <c r="L152" s="90"/>
    </row>
    <row r="153" spans="2:12" x14ac:dyDescent="0.25">
      <c r="B153" s="643"/>
      <c r="C153" s="650"/>
      <c r="D153" s="650"/>
      <c r="E153" s="650"/>
      <c r="F153" s="650"/>
      <c r="G153" s="650"/>
      <c r="H153" s="650"/>
      <c r="I153" s="650"/>
      <c r="J153" s="650"/>
      <c r="K153" s="650"/>
      <c r="L153" s="90"/>
    </row>
    <row r="154" spans="2:12" x14ac:dyDescent="0.25">
      <c r="B154" s="643"/>
      <c r="C154" s="170"/>
      <c r="D154" s="650"/>
      <c r="E154" s="650"/>
      <c r="F154" s="650"/>
      <c r="G154" s="650"/>
      <c r="H154" s="650"/>
      <c r="I154" s="650"/>
      <c r="J154" s="650"/>
      <c r="K154" s="650"/>
      <c r="L154" s="90"/>
    </row>
    <row r="155" spans="2:12" x14ac:dyDescent="0.25">
      <c r="B155" s="643"/>
      <c r="C155" s="650"/>
      <c r="D155" s="650"/>
      <c r="E155" s="650"/>
      <c r="F155" s="650"/>
      <c r="G155" s="650"/>
      <c r="H155" s="650"/>
      <c r="I155" s="650"/>
      <c r="J155" s="650"/>
      <c r="K155" s="650"/>
      <c r="L155" s="90"/>
    </row>
    <row r="156" spans="2:12" x14ac:dyDescent="0.25">
      <c r="B156" s="643"/>
      <c r="C156" s="650"/>
      <c r="D156" s="650"/>
      <c r="E156" s="650"/>
      <c r="F156" s="650"/>
      <c r="G156" s="650"/>
      <c r="H156" s="650"/>
      <c r="I156" s="650"/>
      <c r="J156" s="650"/>
      <c r="K156" s="650"/>
      <c r="L156" s="90"/>
    </row>
    <row r="157" spans="2:12" x14ac:dyDescent="0.25">
      <c r="B157" s="643"/>
      <c r="C157" s="650"/>
      <c r="D157" s="650"/>
      <c r="E157" s="650"/>
      <c r="F157" s="650"/>
      <c r="G157" s="655"/>
      <c r="H157" s="643"/>
      <c r="I157" s="650"/>
      <c r="J157" s="650"/>
      <c r="K157" s="650"/>
      <c r="L157" s="90"/>
    </row>
    <row r="158" spans="2:12" x14ac:dyDescent="0.25">
      <c r="B158" s="643"/>
      <c r="C158" s="650"/>
      <c r="D158" s="650"/>
      <c r="E158" s="650"/>
      <c r="F158" s="650"/>
      <c r="G158" s="655"/>
      <c r="H158" s="650"/>
      <c r="I158" s="650"/>
      <c r="J158" s="650"/>
      <c r="K158" s="650"/>
      <c r="L158" s="90"/>
    </row>
    <row r="159" spans="2:12" x14ac:dyDescent="0.25">
      <c r="B159" s="375"/>
      <c r="C159" s="170"/>
      <c r="D159" s="650"/>
      <c r="E159" s="650"/>
      <c r="F159" s="650"/>
      <c r="G159" s="650"/>
      <c r="H159" s="650"/>
      <c r="I159" s="650"/>
      <c r="J159" s="650"/>
      <c r="K159" s="650"/>
      <c r="L159" s="90"/>
    </row>
    <row r="160" spans="2:12" x14ac:dyDescent="0.25">
      <c r="B160" s="375"/>
      <c r="C160" s="99"/>
      <c r="D160" s="650"/>
      <c r="E160" s="182"/>
      <c r="F160" s="650"/>
      <c r="G160" s="650"/>
      <c r="H160" s="650"/>
      <c r="I160" s="650"/>
      <c r="J160" s="650"/>
      <c r="K160" s="650"/>
      <c r="L160" s="90"/>
    </row>
    <row r="161" spans="2:12" x14ac:dyDescent="0.25">
      <c r="B161" s="375"/>
      <c r="C161" s="170"/>
      <c r="D161" s="650"/>
      <c r="E161" s="650"/>
      <c r="F161" s="650"/>
      <c r="G161" s="650"/>
      <c r="H161" s="650"/>
      <c r="I161" s="650"/>
      <c r="J161" s="650"/>
      <c r="K161" s="650"/>
      <c r="L161" s="90"/>
    </row>
    <row r="162" spans="2:12" x14ac:dyDescent="0.25">
      <c r="B162" s="375"/>
      <c r="C162" s="170"/>
      <c r="D162" s="650"/>
      <c r="E162" s="650"/>
      <c r="F162" s="650"/>
      <c r="G162" s="650"/>
      <c r="H162" s="650"/>
      <c r="I162" s="650"/>
      <c r="J162" s="650"/>
      <c r="K162" s="650"/>
      <c r="L162" s="90"/>
    </row>
    <row r="163" spans="2:12" x14ac:dyDescent="0.25">
      <c r="B163" s="375"/>
      <c r="C163" s="170"/>
      <c r="D163" s="650"/>
      <c r="E163" s="650"/>
      <c r="F163" s="650"/>
      <c r="G163" s="655"/>
      <c r="H163" s="643"/>
      <c r="I163" s="650"/>
      <c r="J163" s="650"/>
      <c r="K163" s="650"/>
      <c r="L163" s="90"/>
    </row>
    <row r="164" spans="2:12" x14ac:dyDescent="0.25">
      <c r="B164" s="375"/>
      <c r="C164" s="170"/>
      <c r="D164" s="650"/>
      <c r="E164" s="650"/>
      <c r="F164" s="650"/>
      <c r="G164" s="90"/>
      <c r="H164" s="650"/>
      <c r="I164" s="650"/>
      <c r="J164" s="650"/>
      <c r="K164" s="650"/>
      <c r="L164" s="90"/>
    </row>
    <row r="165" spans="2:12" x14ac:dyDescent="0.25">
      <c r="B165" s="643"/>
      <c r="C165" s="170"/>
      <c r="D165" s="650"/>
      <c r="E165" s="650"/>
      <c r="F165" s="650"/>
      <c r="G165" s="650"/>
      <c r="H165" s="650"/>
      <c r="I165" s="650"/>
      <c r="J165" s="650"/>
      <c r="K165" s="650"/>
      <c r="L165" s="90"/>
    </row>
    <row r="166" spans="2:12" x14ac:dyDescent="0.25">
      <c r="B166" s="643"/>
      <c r="C166" s="99"/>
      <c r="D166" s="650"/>
      <c r="E166" s="182"/>
      <c r="F166" s="650"/>
      <c r="G166" s="650"/>
      <c r="H166" s="650"/>
      <c r="I166" s="650"/>
      <c r="J166" s="650"/>
      <c r="K166" s="650"/>
      <c r="L166" s="90"/>
    </row>
    <row r="167" spans="2:12" x14ac:dyDescent="0.25">
      <c r="B167" s="643"/>
      <c r="C167" s="170"/>
      <c r="D167" s="650"/>
      <c r="E167" s="650"/>
      <c r="F167" s="650"/>
      <c r="G167" s="650"/>
      <c r="H167" s="650"/>
      <c r="I167" s="650"/>
      <c r="J167" s="650"/>
      <c r="K167" s="650"/>
      <c r="L167" s="90"/>
    </row>
    <row r="168" spans="2:12" x14ac:dyDescent="0.25">
      <c r="B168" s="643"/>
      <c r="C168" s="170"/>
      <c r="D168" s="650"/>
      <c r="E168" s="650"/>
      <c r="F168" s="650"/>
      <c r="G168" s="650"/>
      <c r="H168" s="650"/>
      <c r="I168" s="650"/>
      <c r="J168" s="650"/>
      <c r="K168" s="650"/>
      <c r="L168" s="90"/>
    </row>
    <row r="169" spans="2:12" x14ac:dyDescent="0.25">
      <c r="B169" s="643"/>
      <c r="C169" s="170"/>
      <c r="D169" s="650"/>
      <c r="E169" s="650"/>
      <c r="F169" s="650"/>
      <c r="G169" s="655"/>
      <c r="H169" s="643"/>
      <c r="I169" s="650"/>
      <c r="J169" s="650"/>
      <c r="K169" s="650"/>
      <c r="L169" s="90"/>
    </row>
    <row r="170" spans="2:12" x14ac:dyDescent="0.25">
      <c r="B170" s="643"/>
      <c r="C170" s="170"/>
      <c r="D170" s="650"/>
      <c r="E170" s="650"/>
      <c r="F170" s="650"/>
      <c r="G170" s="90"/>
      <c r="H170" s="650"/>
      <c r="I170" s="650"/>
      <c r="J170" s="650"/>
      <c r="K170" s="650"/>
      <c r="L170" s="90"/>
    </row>
    <row r="171" spans="2:12" x14ac:dyDescent="0.25">
      <c r="B171" s="643"/>
      <c r="C171" s="650"/>
      <c r="D171" s="650"/>
      <c r="E171" s="650"/>
      <c r="F171" s="650"/>
      <c r="G171" s="650"/>
      <c r="H171" s="650"/>
      <c r="I171" s="650"/>
      <c r="J171" s="650"/>
      <c r="K171" s="650"/>
      <c r="L171" s="90"/>
    </row>
    <row r="172" spans="2:12" x14ac:dyDescent="0.25">
      <c r="B172" s="643"/>
      <c r="C172" s="170"/>
      <c r="D172" s="650"/>
      <c r="E172" s="650"/>
      <c r="F172" s="650"/>
      <c r="G172" s="650"/>
      <c r="H172" s="650"/>
      <c r="I172" s="650"/>
      <c r="J172" s="650"/>
      <c r="K172" s="650"/>
      <c r="L172" s="90"/>
    </row>
    <row r="173" spans="2:12" x14ac:dyDescent="0.25">
      <c r="B173" s="643"/>
      <c r="C173" s="650"/>
      <c r="D173" s="650"/>
      <c r="E173" s="650"/>
      <c r="F173" s="650"/>
      <c r="G173" s="650"/>
      <c r="H173" s="650"/>
      <c r="I173" s="650"/>
      <c r="J173" s="650"/>
      <c r="K173" s="650"/>
      <c r="L173" s="90"/>
    </row>
    <row r="174" spans="2:12" x14ac:dyDescent="0.25">
      <c r="B174" s="643"/>
      <c r="C174" s="650"/>
      <c r="D174" s="650"/>
      <c r="E174" s="650"/>
      <c r="F174" s="650"/>
      <c r="G174" s="650"/>
      <c r="H174" s="650"/>
      <c r="I174" s="650"/>
      <c r="J174" s="650"/>
      <c r="K174" s="650"/>
      <c r="L174" s="90"/>
    </row>
    <row r="175" spans="2:12" x14ac:dyDescent="0.25">
      <c r="B175" s="643"/>
      <c r="C175" s="170"/>
      <c r="D175" s="650"/>
      <c r="E175" s="650"/>
      <c r="F175" s="650"/>
      <c r="G175" s="655"/>
      <c r="H175" s="643"/>
      <c r="I175" s="650"/>
      <c r="J175" s="650"/>
      <c r="K175" s="650"/>
      <c r="L175" s="90"/>
    </row>
    <row r="176" spans="2:12" x14ac:dyDescent="0.25">
      <c r="B176" s="643"/>
      <c r="C176" s="650"/>
      <c r="D176" s="650"/>
      <c r="E176" s="650"/>
      <c r="F176" s="650"/>
      <c r="G176" s="650"/>
      <c r="H176" s="650"/>
      <c r="I176" s="650"/>
      <c r="J176" s="650"/>
      <c r="K176" s="650"/>
      <c r="L176" s="90"/>
    </row>
    <row r="177" spans="2:12" x14ac:dyDescent="0.25">
      <c r="B177" s="643"/>
      <c r="C177" s="170"/>
      <c r="D177" s="650"/>
      <c r="E177" s="650"/>
      <c r="F177" s="650"/>
      <c r="G177" s="650"/>
      <c r="H177" s="650"/>
      <c r="I177" s="650"/>
      <c r="J177" s="650"/>
      <c r="K177" s="650"/>
      <c r="L177" s="90"/>
    </row>
    <row r="178" spans="2:12" x14ac:dyDescent="0.25">
      <c r="B178" s="643"/>
      <c r="C178" s="650"/>
      <c r="D178" s="650"/>
      <c r="E178" s="650"/>
      <c r="F178" s="650"/>
      <c r="G178" s="650"/>
      <c r="H178" s="650"/>
      <c r="I178" s="650"/>
      <c r="J178" s="650"/>
      <c r="K178" s="650"/>
      <c r="L178" s="90"/>
    </row>
    <row r="179" spans="2:12" x14ac:dyDescent="0.25">
      <c r="B179" s="643"/>
      <c r="C179" s="650"/>
      <c r="D179" s="650"/>
      <c r="E179" s="650"/>
      <c r="F179" s="650"/>
      <c r="G179" s="650"/>
      <c r="H179" s="650"/>
      <c r="I179" s="650"/>
      <c r="J179" s="650"/>
      <c r="K179" s="650"/>
      <c r="L179" s="90"/>
    </row>
    <row r="180" spans="2:12" x14ac:dyDescent="0.25">
      <c r="B180" s="643"/>
      <c r="C180" s="650"/>
      <c r="D180" s="650"/>
      <c r="E180" s="650"/>
      <c r="F180" s="650"/>
      <c r="G180" s="655"/>
      <c r="H180" s="643"/>
      <c r="I180" s="650"/>
      <c r="J180" s="650"/>
      <c r="K180" s="650"/>
      <c r="L180" s="90"/>
    </row>
    <row r="181" spans="2:12" x14ac:dyDescent="0.25">
      <c r="B181" s="643"/>
      <c r="C181" s="650"/>
      <c r="D181" s="650"/>
      <c r="E181" s="650"/>
      <c r="F181" s="650"/>
      <c r="G181" s="650"/>
      <c r="H181" s="650"/>
      <c r="I181" s="650"/>
      <c r="J181" s="650"/>
      <c r="K181" s="650"/>
      <c r="L181" s="90"/>
    </row>
    <row r="182" spans="2:12" x14ac:dyDescent="0.25">
      <c r="B182" s="643"/>
      <c r="C182" s="170"/>
      <c r="D182" s="650"/>
      <c r="E182" s="650"/>
      <c r="F182" s="650"/>
      <c r="G182" s="650"/>
      <c r="H182" s="650"/>
      <c r="I182" s="650"/>
      <c r="J182" s="650"/>
      <c r="K182" s="650"/>
      <c r="L182" s="90"/>
    </row>
    <row r="183" spans="2:12" x14ac:dyDescent="0.25">
      <c r="B183" s="643"/>
      <c r="C183" s="650"/>
      <c r="D183" s="650"/>
      <c r="E183" s="650"/>
      <c r="F183" s="650"/>
      <c r="G183" s="650"/>
      <c r="H183" s="650"/>
      <c r="I183" s="650"/>
      <c r="J183" s="650"/>
      <c r="K183" s="650"/>
      <c r="L183" s="90"/>
    </row>
    <row r="184" spans="2:12" x14ac:dyDescent="0.25">
      <c r="B184" s="643"/>
      <c r="C184" s="650"/>
      <c r="D184" s="650"/>
      <c r="E184" s="650"/>
      <c r="F184" s="650"/>
      <c r="G184" s="650"/>
      <c r="H184" s="650"/>
      <c r="I184" s="650"/>
      <c r="J184" s="650"/>
      <c r="K184" s="650"/>
      <c r="L184" s="90"/>
    </row>
    <row r="185" spans="2:12" x14ac:dyDescent="0.25">
      <c r="B185" s="643"/>
      <c r="C185" s="650"/>
      <c r="D185" s="650"/>
      <c r="E185" s="650"/>
      <c r="F185" s="650"/>
      <c r="G185" s="655"/>
      <c r="H185" s="643"/>
      <c r="I185" s="650"/>
      <c r="J185" s="650"/>
      <c r="K185" s="650"/>
      <c r="L185" s="90"/>
    </row>
    <row r="186" spans="2:12" x14ac:dyDescent="0.25">
      <c r="B186" s="643"/>
      <c r="C186" s="650"/>
      <c r="D186" s="650"/>
      <c r="E186" s="650"/>
      <c r="F186" s="650"/>
      <c r="G186" s="650"/>
      <c r="H186" s="650"/>
      <c r="I186" s="650"/>
      <c r="J186" s="650"/>
      <c r="K186" s="650"/>
      <c r="L186" s="90"/>
    </row>
    <row r="187" spans="2:12" x14ac:dyDescent="0.25">
      <c r="B187" s="643"/>
      <c r="C187" s="395"/>
      <c r="D187" s="650"/>
      <c r="E187" s="650"/>
      <c r="F187" s="650"/>
      <c r="G187" s="650"/>
      <c r="H187" s="650"/>
      <c r="I187" s="650"/>
      <c r="J187" s="650"/>
      <c r="K187" s="650"/>
      <c r="L187" s="90"/>
    </row>
    <row r="188" spans="2:12" x14ac:dyDescent="0.25">
      <c r="B188" s="643"/>
      <c r="C188" s="170"/>
      <c r="D188" s="650"/>
      <c r="E188" s="650"/>
      <c r="F188" s="650"/>
      <c r="G188" s="650"/>
      <c r="H188" s="650"/>
      <c r="I188" s="650"/>
      <c r="J188" s="650"/>
      <c r="K188" s="650"/>
      <c r="L188" s="90"/>
    </row>
    <row r="189" spans="2:12" x14ac:dyDescent="0.25">
      <c r="B189" s="643"/>
      <c r="C189" s="170"/>
      <c r="D189" s="650"/>
      <c r="E189" s="650"/>
      <c r="F189" s="650"/>
      <c r="G189" s="655"/>
      <c r="H189" s="644"/>
      <c r="I189" s="644"/>
      <c r="J189" s="650"/>
      <c r="K189" s="650"/>
      <c r="L189" s="90"/>
    </row>
    <row r="190" spans="2:12" x14ac:dyDescent="0.25">
      <c r="B190" s="643"/>
      <c r="C190" s="650"/>
      <c r="D190" s="650"/>
      <c r="E190" s="650"/>
      <c r="F190" s="650"/>
      <c r="G190" s="650"/>
      <c r="H190" s="644"/>
      <c r="I190" s="644"/>
      <c r="J190" s="650"/>
      <c r="K190" s="650"/>
      <c r="L190" s="90"/>
    </row>
    <row r="191" spans="2:12" x14ac:dyDescent="0.25">
      <c r="B191" s="643"/>
      <c r="C191" s="170"/>
      <c r="D191" s="650"/>
      <c r="E191" s="650"/>
      <c r="F191" s="650"/>
      <c r="G191" s="650"/>
      <c r="H191" s="650"/>
      <c r="I191" s="650"/>
      <c r="J191" s="650"/>
      <c r="K191" s="650"/>
      <c r="L191" s="90"/>
    </row>
    <row r="192" spans="2:12" x14ac:dyDescent="0.25">
      <c r="B192" s="643"/>
      <c r="C192" s="170"/>
      <c r="D192" s="650"/>
      <c r="E192" s="650"/>
      <c r="F192" s="650"/>
      <c r="G192" s="650"/>
      <c r="H192" s="650"/>
      <c r="I192" s="650"/>
      <c r="J192" s="650"/>
      <c r="K192" s="650"/>
      <c r="L192" s="90"/>
    </row>
    <row r="193" spans="2:12" x14ac:dyDescent="0.25">
      <c r="B193" s="643"/>
      <c r="C193" s="170"/>
      <c r="D193" s="650"/>
      <c r="E193" s="650"/>
      <c r="F193" s="650"/>
      <c r="G193" s="655"/>
      <c r="H193" s="644"/>
      <c r="I193" s="644"/>
      <c r="J193" s="650"/>
      <c r="K193" s="650"/>
      <c r="L193" s="90"/>
    </row>
    <row r="194" spans="2:12" x14ac:dyDescent="0.25">
      <c r="B194" s="643"/>
      <c r="C194" s="650"/>
      <c r="D194" s="650"/>
      <c r="E194" s="650"/>
      <c r="F194" s="650"/>
      <c r="G194" s="650"/>
      <c r="H194" s="644"/>
      <c r="I194" s="644"/>
      <c r="J194" s="650"/>
      <c r="K194" s="650"/>
      <c r="L194" s="90"/>
    </row>
    <row r="195" spans="2:12" x14ac:dyDescent="0.25">
      <c r="B195" s="643"/>
      <c r="C195" s="650"/>
      <c r="D195" s="650"/>
      <c r="E195" s="650"/>
      <c r="F195" s="650"/>
      <c r="G195" s="650"/>
      <c r="H195" s="650"/>
      <c r="I195" s="650"/>
      <c r="J195" s="650"/>
      <c r="K195" s="650"/>
      <c r="L195" s="90"/>
    </row>
    <row r="196" spans="2:12" x14ac:dyDescent="0.25">
      <c r="B196" s="643"/>
      <c r="C196" s="650"/>
      <c r="D196" s="650"/>
      <c r="E196" s="650"/>
      <c r="F196" s="650"/>
      <c r="G196" s="650"/>
      <c r="H196" s="650"/>
      <c r="I196" s="650"/>
      <c r="J196" s="650"/>
      <c r="K196" s="650"/>
      <c r="L196" s="90"/>
    </row>
    <row r="197" spans="2:12" x14ac:dyDescent="0.25">
      <c r="B197" s="643"/>
      <c r="C197" s="650"/>
      <c r="D197" s="650"/>
      <c r="E197" s="650"/>
      <c r="F197" s="650"/>
      <c r="G197" s="650"/>
      <c r="H197" s="650"/>
      <c r="I197" s="650"/>
      <c r="J197" s="650"/>
      <c r="K197" s="650"/>
      <c r="L197" s="90"/>
    </row>
    <row r="198" spans="2:12" x14ac:dyDescent="0.25">
      <c r="B198" s="643"/>
      <c r="C198" s="650"/>
      <c r="D198" s="650"/>
      <c r="E198" s="650"/>
      <c r="F198" s="650"/>
      <c r="G198" s="650"/>
      <c r="H198" s="650"/>
      <c r="I198" s="650"/>
      <c r="J198" s="650"/>
      <c r="K198" s="650"/>
      <c r="L198" s="90"/>
    </row>
    <row r="199" spans="2:12" x14ac:dyDescent="0.25">
      <c r="B199" s="643"/>
      <c r="C199" s="650"/>
      <c r="D199" s="650"/>
      <c r="E199" s="650"/>
      <c r="F199" s="650"/>
      <c r="G199" s="650"/>
      <c r="H199" s="650"/>
      <c r="I199" s="650"/>
      <c r="J199" s="650"/>
      <c r="K199" s="650"/>
      <c r="L199" s="90"/>
    </row>
    <row r="200" spans="2:12" x14ac:dyDescent="0.25">
      <c r="B200" s="643"/>
      <c r="C200" s="650"/>
      <c r="D200" s="650"/>
      <c r="E200" s="650"/>
      <c r="F200" s="650"/>
      <c r="G200" s="650"/>
      <c r="H200" s="650"/>
      <c r="I200" s="650"/>
      <c r="J200" s="650"/>
      <c r="K200" s="650"/>
      <c r="L200" s="90"/>
    </row>
    <row r="201" spans="2:12" x14ac:dyDescent="0.25">
      <c r="B201" s="643"/>
      <c r="C201" s="650"/>
      <c r="D201" s="650"/>
      <c r="E201" s="650"/>
      <c r="F201" s="650"/>
      <c r="G201" s="650"/>
      <c r="H201" s="650"/>
      <c r="I201" s="650"/>
      <c r="J201" s="650"/>
      <c r="K201" s="650"/>
      <c r="L201" s="90"/>
    </row>
    <row r="202" spans="2:12" x14ac:dyDescent="0.25">
      <c r="B202" s="375"/>
      <c r="C202" s="90"/>
      <c r="D202" s="90"/>
      <c r="E202" s="90"/>
      <c r="F202" s="90"/>
      <c r="G202" s="90"/>
      <c r="H202" s="90"/>
      <c r="I202" s="90"/>
      <c r="J202" s="90"/>
      <c r="K202" s="90"/>
      <c r="L202" s="90"/>
    </row>
    <row r="203" spans="2:12" x14ac:dyDescent="0.25">
      <c r="B203" s="375"/>
      <c r="C203" s="90"/>
      <c r="D203" s="90"/>
      <c r="E203" s="90"/>
      <c r="F203" s="90"/>
      <c r="G203" s="90"/>
      <c r="H203" s="90"/>
      <c r="I203" s="90"/>
      <c r="J203" s="90"/>
      <c r="K203" s="90"/>
      <c r="L203" s="90"/>
    </row>
    <row r="204" spans="2:12" x14ac:dyDescent="0.25">
      <c r="B204" s="375"/>
      <c r="C204" s="90"/>
      <c r="D204" s="90"/>
      <c r="E204" s="90"/>
      <c r="F204" s="90"/>
      <c r="G204" s="90"/>
      <c r="H204" s="90"/>
      <c r="I204" s="90"/>
      <c r="J204" s="90"/>
      <c r="K204" s="90"/>
      <c r="L204" s="90"/>
    </row>
    <row r="205" spans="2:12" x14ac:dyDescent="0.25">
      <c r="B205" s="375"/>
      <c r="C205" s="90"/>
      <c r="D205" s="90"/>
      <c r="E205" s="90"/>
      <c r="F205" s="90"/>
      <c r="G205" s="90"/>
      <c r="H205" s="90"/>
      <c r="I205" s="90"/>
      <c r="J205" s="90"/>
      <c r="K205" s="90"/>
      <c r="L205" s="90"/>
    </row>
    <row r="206" spans="2:12" x14ac:dyDescent="0.25">
      <c r="B206" s="375"/>
      <c r="C206" s="90"/>
      <c r="D206" s="90"/>
      <c r="E206" s="90"/>
      <c r="F206" s="90"/>
      <c r="G206" s="90"/>
      <c r="H206" s="90"/>
      <c r="I206" s="90"/>
      <c r="J206" s="90"/>
      <c r="K206" s="90"/>
      <c r="L206" s="90"/>
    </row>
    <row r="207" spans="2:12" x14ac:dyDescent="0.25">
      <c r="B207" s="375"/>
      <c r="C207" s="90"/>
      <c r="D207" s="90"/>
      <c r="E207" s="90"/>
      <c r="F207" s="90"/>
      <c r="G207" s="90"/>
      <c r="H207" s="90"/>
      <c r="I207" s="90"/>
      <c r="J207" s="90"/>
      <c r="K207" s="90"/>
      <c r="L207" s="90"/>
    </row>
    <row r="208" spans="2:12" x14ac:dyDescent="0.25">
      <c r="B208" s="375"/>
      <c r="C208" s="90"/>
      <c r="D208" s="90"/>
      <c r="E208" s="90"/>
      <c r="F208" s="90"/>
      <c r="G208" s="90"/>
      <c r="H208" s="90"/>
      <c r="I208" s="90"/>
      <c r="J208" s="90"/>
      <c r="K208" s="90"/>
      <c r="L208" s="90"/>
    </row>
    <row r="209" spans="2:12" x14ac:dyDescent="0.25">
      <c r="B209" s="375"/>
      <c r="C209" s="90"/>
      <c r="D209" s="90"/>
      <c r="E209" s="90"/>
      <c r="F209" s="90"/>
      <c r="G209" s="90"/>
      <c r="H209" s="90"/>
      <c r="I209" s="90"/>
      <c r="J209" s="90"/>
      <c r="K209" s="90"/>
      <c r="L209" s="90"/>
    </row>
  </sheetData>
  <mergeCells count="15">
    <mergeCell ref="C76:F76"/>
    <mergeCell ref="B60:I60"/>
    <mergeCell ref="C62:F62"/>
    <mergeCell ref="C66:F66"/>
    <mergeCell ref="C71:F71"/>
    <mergeCell ref="C73:F73"/>
    <mergeCell ref="C97:F97"/>
    <mergeCell ref="C99:F99"/>
    <mergeCell ref="C101:F101"/>
    <mergeCell ref="C79:F79"/>
    <mergeCell ref="C82:F82"/>
    <mergeCell ref="C85:F85"/>
    <mergeCell ref="C89:F89"/>
    <mergeCell ref="C92:F92"/>
    <mergeCell ref="C95:F95"/>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topLeftCell="A61" workbookViewId="0">
      <selection activeCell="C74" sqref="C74"/>
    </sheetView>
  </sheetViews>
  <sheetFormatPr defaultRowHeight="15" x14ac:dyDescent="0.25"/>
  <cols>
    <col min="2" max="2" width="48.5703125" customWidth="1"/>
    <col min="3" max="3" width="22.28515625" customWidth="1"/>
    <col min="5" max="5" width="25.42578125" customWidth="1"/>
    <col min="6" max="6" width="21.5703125" customWidth="1"/>
    <col min="9" max="9" width="9.140625" style="378"/>
  </cols>
  <sheetData>
    <row r="1" spans="1:9" x14ac:dyDescent="0.25">
      <c r="A1" s="2008" t="str">
        <f>Design!B1</f>
        <v>CPWS SCHEME TO                                                                                                       DISTRICT</v>
      </c>
      <c r="B1" s="2008"/>
      <c r="C1" s="2008"/>
    </row>
    <row r="2" spans="1:9" ht="15.75" x14ac:dyDescent="0.25">
      <c r="B2" s="811" t="s">
        <v>827</v>
      </c>
    </row>
    <row r="4" spans="1:9" ht="56.25" customHeight="1" thickBot="1" x14ac:dyDescent="0.3">
      <c r="B4" s="2120" t="s">
        <v>828</v>
      </c>
      <c r="C4" s="2121"/>
      <c r="D4" s="90"/>
      <c r="E4" s="90"/>
      <c r="F4" s="90"/>
      <c r="G4" s="90"/>
      <c r="H4" s="90"/>
      <c r="I4" s="152"/>
    </row>
    <row r="5" spans="1:9" ht="42" customHeight="1" thickBot="1" x14ac:dyDescent="0.3">
      <c r="A5" s="812"/>
      <c r="B5" s="813" t="s">
        <v>2160</v>
      </c>
      <c r="C5" s="814"/>
    </row>
    <row r="6" spans="1:9" ht="18" customHeight="1" x14ac:dyDescent="0.25">
      <c r="A6" s="2122" t="s">
        <v>829</v>
      </c>
      <c r="B6" s="815" t="s">
        <v>830</v>
      </c>
      <c r="C6" s="2124"/>
    </row>
    <row r="7" spans="1:9" ht="23.25" customHeight="1" thickBot="1" x14ac:dyDescent="0.3">
      <c r="A7" s="2123"/>
      <c r="B7" s="816" t="s">
        <v>831</v>
      </c>
      <c r="C7" s="2125"/>
    </row>
    <row r="8" spans="1:9" ht="29.25" customHeight="1" thickBot="1" x14ac:dyDescent="0.3">
      <c r="A8" s="817"/>
      <c r="B8" s="816" t="s">
        <v>832</v>
      </c>
      <c r="C8" s="818"/>
    </row>
    <row r="9" spans="1:9" ht="28.5" customHeight="1" thickBot="1" x14ac:dyDescent="0.3">
      <c r="A9" s="817"/>
      <c r="B9" s="816" t="s">
        <v>833</v>
      </c>
      <c r="C9" s="818"/>
    </row>
    <row r="10" spans="1:9" ht="24.75" customHeight="1" thickBot="1" x14ac:dyDescent="0.3">
      <c r="A10" s="817"/>
      <c r="B10" s="816" t="s">
        <v>834</v>
      </c>
      <c r="C10" s="818"/>
    </row>
    <row r="11" spans="1:9" ht="36" customHeight="1" thickBot="1" x14ac:dyDescent="0.3">
      <c r="A11" s="817"/>
      <c r="B11" s="816" t="s">
        <v>835</v>
      </c>
      <c r="C11" s="818"/>
    </row>
    <row r="12" spans="1:9" ht="27.75" customHeight="1" thickBot="1" x14ac:dyDescent="0.3">
      <c r="A12" s="817"/>
      <c r="B12" s="816" t="s">
        <v>836</v>
      </c>
      <c r="C12" s="818"/>
    </row>
    <row r="13" spans="1:9" ht="27" customHeight="1" thickBot="1" x14ac:dyDescent="0.3">
      <c r="A13" s="817"/>
      <c r="B13" s="816" t="s">
        <v>837</v>
      </c>
      <c r="C13" s="818"/>
    </row>
    <row r="14" spans="1:9" ht="37.5" customHeight="1" thickBot="1" x14ac:dyDescent="0.3">
      <c r="A14" s="817"/>
      <c r="B14" s="816" t="s">
        <v>838</v>
      </c>
      <c r="C14" s="818"/>
    </row>
    <row r="15" spans="1:9" ht="75" customHeight="1" thickBot="1" x14ac:dyDescent="0.3">
      <c r="A15" s="817"/>
      <c r="B15" s="816" t="s">
        <v>839</v>
      </c>
      <c r="C15" s="818"/>
    </row>
    <row r="16" spans="1:9" ht="48.75" customHeight="1" thickBot="1" x14ac:dyDescent="0.3">
      <c r="A16" s="817"/>
      <c r="B16" s="816" t="s">
        <v>840</v>
      </c>
      <c r="C16" s="818"/>
    </row>
    <row r="17" spans="1:3" ht="54.95" customHeight="1" thickBot="1" x14ac:dyDescent="0.3">
      <c r="A17" s="817"/>
      <c r="B17" s="816" t="s">
        <v>841</v>
      </c>
      <c r="C17" s="818"/>
    </row>
    <row r="18" spans="1:3" ht="48" customHeight="1" thickBot="1" x14ac:dyDescent="0.3">
      <c r="A18" s="817"/>
      <c r="B18" s="816" t="s">
        <v>842</v>
      </c>
      <c r="C18" s="818"/>
    </row>
    <row r="19" spans="1:3" ht="42.75" customHeight="1" thickBot="1" x14ac:dyDescent="0.3">
      <c r="A19" s="817"/>
      <c r="B19" s="816" t="s">
        <v>843</v>
      </c>
      <c r="C19" s="818"/>
    </row>
    <row r="20" spans="1:3" ht="34.5" customHeight="1" thickBot="1" x14ac:dyDescent="0.3">
      <c r="A20" s="817"/>
      <c r="B20" s="816" t="s">
        <v>844</v>
      </c>
      <c r="C20" s="818"/>
    </row>
    <row r="21" spans="1:3" ht="35.25" customHeight="1" thickBot="1" x14ac:dyDescent="0.3">
      <c r="A21" s="817"/>
      <c r="B21" s="816" t="s">
        <v>845</v>
      </c>
      <c r="C21" s="818"/>
    </row>
    <row r="22" spans="1:3" ht="47.25" customHeight="1" thickBot="1" x14ac:dyDescent="0.3">
      <c r="A22" s="817"/>
      <c r="B22" s="816" t="s">
        <v>846</v>
      </c>
      <c r="C22" s="818"/>
    </row>
    <row r="23" spans="1:3" ht="50.25" customHeight="1" thickBot="1" x14ac:dyDescent="0.3">
      <c r="A23" s="817"/>
      <c r="B23" s="816" t="s">
        <v>847</v>
      </c>
      <c r="C23" s="818"/>
    </row>
    <row r="24" spans="1:3" ht="38.25" customHeight="1" thickBot="1" x14ac:dyDescent="0.3">
      <c r="A24" s="817"/>
      <c r="B24" s="816" t="s">
        <v>848</v>
      </c>
      <c r="C24" s="818"/>
    </row>
    <row r="25" spans="1:3" ht="38.25" customHeight="1" thickBot="1" x14ac:dyDescent="0.3">
      <c r="A25" s="817"/>
      <c r="B25" s="816" t="s">
        <v>849</v>
      </c>
      <c r="C25" s="818"/>
    </row>
    <row r="26" spans="1:3" ht="34.5" customHeight="1" thickBot="1" x14ac:dyDescent="0.3">
      <c r="A26" s="817"/>
      <c r="B26" s="816" t="s">
        <v>850</v>
      </c>
      <c r="C26" s="818"/>
    </row>
    <row r="27" spans="1:3" ht="22.5" customHeight="1" thickBot="1" x14ac:dyDescent="0.3">
      <c r="A27" s="817"/>
      <c r="B27" s="816" t="s">
        <v>851</v>
      </c>
      <c r="C27" s="818"/>
    </row>
    <row r="28" spans="1:3" ht="30.75" customHeight="1" thickBot="1" x14ac:dyDescent="0.3">
      <c r="A28" s="817"/>
      <c r="B28" s="816" t="s">
        <v>852</v>
      </c>
      <c r="C28" s="818"/>
    </row>
    <row r="29" spans="1:3" ht="29.25" customHeight="1" thickBot="1" x14ac:dyDescent="0.3">
      <c r="A29" s="817"/>
      <c r="B29" s="816" t="s">
        <v>853</v>
      </c>
      <c r="C29" s="818"/>
    </row>
    <row r="30" spans="1:3" ht="34.5" customHeight="1" thickBot="1" x14ac:dyDescent="0.3">
      <c r="A30" s="817"/>
      <c r="B30" s="816" t="s">
        <v>854</v>
      </c>
      <c r="C30" s="818"/>
    </row>
    <row r="31" spans="1:3" ht="30.75" customHeight="1" thickBot="1" x14ac:dyDescent="0.3">
      <c r="A31" s="817"/>
      <c r="B31" s="816" t="s">
        <v>855</v>
      </c>
      <c r="C31" s="818"/>
    </row>
    <row r="32" spans="1:3" ht="35.25" customHeight="1" thickBot="1" x14ac:dyDescent="0.3">
      <c r="A32" s="817"/>
      <c r="B32" s="816" t="s">
        <v>856</v>
      </c>
      <c r="C32" s="818"/>
    </row>
    <row r="33" spans="1:3" ht="34.5" customHeight="1" thickBot="1" x14ac:dyDescent="0.3">
      <c r="A33" s="817"/>
      <c r="B33" s="816" t="s">
        <v>857</v>
      </c>
      <c r="C33" s="818"/>
    </row>
    <row r="34" spans="1:3" ht="36.75" customHeight="1" thickBot="1" x14ac:dyDescent="0.3">
      <c r="A34" s="817"/>
      <c r="B34" s="816" t="s">
        <v>858</v>
      </c>
      <c r="C34" s="818"/>
    </row>
    <row r="35" spans="1:3" ht="33.75" customHeight="1" thickBot="1" x14ac:dyDescent="0.3">
      <c r="A35" s="817"/>
      <c r="B35" s="816" t="s">
        <v>859</v>
      </c>
      <c r="C35" s="818"/>
    </row>
    <row r="36" spans="1:3" ht="24.75" customHeight="1" thickBot="1" x14ac:dyDescent="0.3">
      <c r="A36" s="817"/>
      <c r="B36" s="816" t="s">
        <v>860</v>
      </c>
      <c r="C36" s="818"/>
    </row>
    <row r="37" spans="1:3" ht="33" customHeight="1" thickBot="1" x14ac:dyDescent="0.3">
      <c r="A37" s="817"/>
      <c r="B37" s="819" t="s">
        <v>861</v>
      </c>
      <c r="C37" s="818"/>
    </row>
    <row r="38" spans="1:3" ht="18" customHeight="1" thickBot="1" x14ac:dyDescent="0.3">
      <c r="A38" s="817" t="s">
        <v>862</v>
      </c>
      <c r="B38" s="820" t="s">
        <v>863</v>
      </c>
      <c r="C38" s="821"/>
    </row>
    <row r="39" spans="1:3" ht="24" customHeight="1" thickBot="1" x14ac:dyDescent="0.3">
      <c r="A39" s="817"/>
      <c r="B39" s="819" t="s">
        <v>864</v>
      </c>
      <c r="C39" s="821"/>
    </row>
    <row r="40" spans="1:3" ht="21.75" customHeight="1" thickBot="1" x14ac:dyDescent="0.3">
      <c r="A40" s="817"/>
      <c r="B40" s="819" t="s">
        <v>865</v>
      </c>
      <c r="C40" s="821"/>
    </row>
    <row r="41" spans="1:3" ht="20.25" customHeight="1" thickBot="1" x14ac:dyDescent="0.3">
      <c r="A41" s="817"/>
      <c r="B41" s="819" t="s">
        <v>866</v>
      </c>
      <c r="C41" s="821"/>
    </row>
    <row r="42" spans="1:3" ht="36" customHeight="1" thickBot="1" x14ac:dyDescent="0.3">
      <c r="A42" s="817"/>
      <c r="B42" s="816" t="s">
        <v>867</v>
      </c>
      <c r="C42" s="821"/>
    </row>
    <row r="43" spans="1:3" ht="36" customHeight="1" thickBot="1" x14ac:dyDescent="0.3">
      <c r="A43" s="817"/>
      <c r="B43" s="816" t="s">
        <v>868</v>
      </c>
      <c r="C43" s="821"/>
    </row>
    <row r="44" spans="1:3" ht="31.5" customHeight="1" thickBot="1" x14ac:dyDescent="0.3">
      <c r="A44" s="817"/>
      <c r="B44" s="816" t="s">
        <v>869</v>
      </c>
      <c r="C44" s="821"/>
    </row>
    <row r="45" spans="1:3" ht="34.5" customHeight="1" thickBot="1" x14ac:dyDescent="0.3">
      <c r="A45" s="817"/>
      <c r="B45" s="816" t="s">
        <v>870</v>
      </c>
      <c r="C45" s="821"/>
    </row>
    <row r="46" spans="1:3" ht="47.25" customHeight="1" thickBot="1" x14ac:dyDescent="0.3">
      <c r="A46" s="817"/>
      <c r="B46" s="816" t="s">
        <v>871</v>
      </c>
      <c r="C46" s="821"/>
    </row>
    <row r="47" spans="1:3" ht="23.25" customHeight="1" thickBot="1" x14ac:dyDescent="0.3">
      <c r="A47" s="817"/>
      <c r="B47" s="819" t="s">
        <v>872</v>
      </c>
      <c r="C47" s="821"/>
    </row>
    <row r="48" spans="1:3" ht="33.75" customHeight="1" thickBot="1" x14ac:dyDescent="0.3">
      <c r="A48" s="817"/>
      <c r="B48" s="819" t="s">
        <v>873</v>
      </c>
      <c r="C48" s="821"/>
    </row>
    <row r="49" spans="1:9" ht="22.5" customHeight="1" thickBot="1" x14ac:dyDescent="0.3">
      <c r="A49" s="817" t="s">
        <v>874</v>
      </c>
      <c r="B49" s="819" t="s">
        <v>875</v>
      </c>
      <c r="C49" s="821"/>
    </row>
    <row r="50" spans="1:9" ht="33.75" customHeight="1" thickBot="1" x14ac:dyDescent="0.3">
      <c r="A50" s="817"/>
      <c r="B50" s="819" t="s">
        <v>876</v>
      </c>
      <c r="C50" s="821"/>
    </row>
    <row r="51" spans="1:9" ht="51" customHeight="1" thickBot="1" x14ac:dyDescent="0.3">
      <c r="A51" s="817"/>
      <c r="B51" s="816" t="s">
        <v>877</v>
      </c>
      <c r="C51" s="821"/>
    </row>
    <row r="52" spans="1:9" ht="75" customHeight="1" thickBot="1" x14ac:dyDescent="0.3">
      <c r="A52" s="817"/>
      <c r="B52" s="816" t="s">
        <v>878</v>
      </c>
      <c r="C52" s="821"/>
    </row>
    <row r="53" spans="1:9" ht="35.25" customHeight="1" thickBot="1" x14ac:dyDescent="0.3">
      <c r="A53" s="817"/>
      <c r="B53" s="816" t="s">
        <v>879</v>
      </c>
      <c r="C53" s="821"/>
    </row>
    <row r="54" spans="1:9" ht="24.75" customHeight="1" thickBot="1" x14ac:dyDescent="0.3">
      <c r="A54" s="817"/>
      <c r="B54" s="816" t="s">
        <v>880</v>
      </c>
      <c r="C54" s="821"/>
    </row>
    <row r="55" spans="1:9" ht="25.5" customHeight="1" thickBot="1" x14ac:dyDescent="0.3">
      <c r="A55" s="817" t="s">
        <v>881</v>
      </c>
      <c r="B55" s="822" t="s">
        <v>882</v>
      </c>
      <c r="C55" s="818"/>
    </row>
    <row r="56" spans="1:9" ht="72.75" customHeight="1" thickBot="1" x14ac:dyDescent="0.3">
      <c r="A56" s="817"/>
      <c r="B56" s="816" t="s">
        <v>883</v>
      </c>
      <c r="C56" s="821"/>
    </row>
    <row r="57" spans="1:9" ht="61.5" customHeight="1" thickBot="1" x14ac:dyDescent="0.3">
      <c r="A57" s="817"/>
      <c r="B57" s="816" t="s">
        <v>884</v>
      </c>
      <c r="C57" s="819"/>
    </row>
    <row r="58" spans="1:9" ht="60" customHeight="1" thickBot="1" x14ac:dyDescent="0.3">
      <c r="A58" s="817"/>
      <c r="B58" s="816" t="s">
        <v>885</v>
      </c>
      <c r="C58" s="819"/>
    </row>
    <row r="59" spans="1:9" ht="42.75" customHeight="1" thickBot="1" x14ac:dyDescent="0.3">
      <c r="A59" s="817" t="s">
        <v>886</v>
      </c>
      <c r="B59" s="816" t="s">
        <v>887</v>
      </c>
      <c r="C59" s="821"/>
    </row>
    <row r="60" spans="1:9" ht="48.75" customHeight="1" thickBot="1" x14ac:dyDescent="0.3">
      <c r="A60" s="817"/>
      <c r="B60" s="816" t="s">
        <v>888</v>
      </c>
      <c r="C60" s="819"/>
    </row>
    <row r="61" spans="1:9" x14ac:dyDescent="0.25">
      <c r="B61" s="823"/>
      <c r="C61" s="824"/>
      <c r="D61" s="90"/>
      <c r="E61" s="90"/>
      <c r="F61" s="90"/>
      <c r="G61" s="90"/>
      <c r="H61" s="90"/>
      <c r="I61" s="152"/>
    </row>
    <row r="62" spans="1:9" x14ac:dyDescent="0.25">
      <c r="B62" s="433" t="s">
        <v>889</v>
      </c>
      <c r="C62" s="825">
        <v>5</v>
      </c>
      <c r="D62" s="90"/>
      <c r="E62" s="90"/>
      <c r="F62" s="90"/>
      <c r="G62" s="90"/>
      <c r="H62" s="90"/>
      <c r="I62" s="152"/>
    </row>
    <row r="63" spans="1:9" x14ac:dyDescent="0.25">
      <c r="B63" s="433" t="s">
        <v>284</v>
      </c>
      <c r="C63" s="433" t="s">
        <v>141</v>
      </c>
      <c r="D63" s="90"/>
      <c r="E63" s="90"/>
      <c r="F63" s="90"/>
      <c r="G63" s="90"/>
      <c r="H63" s="90"/>
      <c r="I63" s="152"/>
    </row>
    <row r="64" spans="1:9" x14ac:dyDescent="0.25">
      <c r="B64" s="826"/>
      <c r="C64" s="826"/>
      <c r="D64" s="90"/>
      <c r="E64" s="90"/>
      <c r="F64" s="90"/>
      <c r="G64" s="90"/>
      <c r="H64" s="90"/>
      <c r="I64" s="152"/>
    </row>
    <row r="65" spans="2:9" x14ac:dyDescent="0.25">
      <c r="B65" s="827" t="str">
        <f>+CONCATENATE("Basic Rate Rs.",RAM!D50," per litre *",C62*10^6)</f>
        <v>Basic Rate Rs.4.01 per litre *5000000</v>
      </c>
      <c r="C65" s="827">
        <f>ROUND(C62*(10^6)*RAM!D50,0)</f>
        <v>20050000</v>
      </c>
      <c r="D65" s="90"/>
      <c r="E65" s="90">
        <f>3.09*2000000</f>
        <v>6180000</v>
      </c>
      <c r="F65" s="90"/>
      <c r="G65" s="90"/>
      <c r="H65" s="90"/>
      <c r="I65" s="152"/>
    </row>
    <row r="66" spans="2:9" x14ac:dyDescent="0.25">
      <c r="B66" s="828"/>
      <c r="C66" s="829"/>
      <c r="D66" s="90"/>
      <c r="E66" s="90"/>
      <c r="F66" s="90"/>
      <c r="G66" s="90"/>
      <c r="H66" s="90"/>
      <c r="I66" s="152"/>
    </row>
    <row r="67" spans="2:9" x14ac:dyDescent="0.25">
      <c r="B67" s="829" t="s">
        <v>890</v>
      </c>
      <c r="C67" s="829"/>
      <c r="D67" s="90"/>
      <c r="E67" s="90"/>
      <c r="F67" s="90"/>
      <c r="G67" s="90"/>
      <c r="H67" s="90"/>
      <c r="I67" s="152"/>
    </row>
    <row r="68" spans="2:9" x14ac:dyDescent="0.25">
      <c r="B68" s="794" t="str">
        <f>+CONCATENATE("(",Lead!K15, "-",SSR!D59,")* 0.7/100*",C62,"*",RAM!D50,"*10^6/100")</f>
        <v>(6400-6400)* 0.7/100*5*4.01*10^6/100</v>
      </c>
      <c r="C68" s="829">
        <f>+ROUND((Lead!K15-SSR!D59)*(0.7/100)*C65/100,0)</f>
        <v>0</v>
      </c>
      <c r="D68" s="90"/>
      <c r="E68" s="90">
        <v>0</v>
      </c>
      <c r="F68" s="90"/>
      <c r="G68" s="90"/>
      <c r="H68" s="90"/>
      <c r="I68" s="152"/>
    </row>
    <row r="69" spans="2:9" x14ac:dyDescent="0.25">
      <c r="B69" s="830"/>
      <c r="C69" s="829"/>
      <c r="D69" s="90"/>
      <c r="E69" s="90"/>
      <c r="F69" s="90"/>
      <c r="G69" s="90"/>
      <c r="H69" s="90"/>
      <c r="I69" s="152"/>
    </row>
    <row r="70" spans="2:9" x14ac:dyDescent="0.25">
      <c r="B70" s="829" t="s">
        <v>891</v>
      </c>
      <c r="C70" s="831"/>
      <c r="D70" s="90"/>
      <c r="E70" s="90"/>
      <c r="F70" s="90"/>
      <c r="G70" s="90"/>
      <c r="H70" s="90"/>
      <c r="I70" s="152"/>
    </row>
    <row r="71" spans="2:9" x14ac:dyDescent="0.25">
      <c r="B71" s="794" t="str">
        <f>+CONCATENATE("(",Lead!K16, "-",SSR!D60,")* 2/100*",C62,"*",RAM!D50,"*10^6/1000")</f>
        <v>(42000-42000)* 2/100*5*4.01*10^6/1000</v>
      </c>
      <c r="C71" s="829">
        <f>+ROUND((Lead!K16-SSR!D60)*(2/100)*(C65)/1000,0)</f>
        <v>0</v>
      </c>
      <c r="D71" s="90"/>
      <c r="E71" s="90">
        <f>1000*0.00002*E65</f>
        <v>123600</v>
      </c>
      <c r="F71" s="90"/>
      <c r="G71" s="90"/>
      <c r="H71" s="90"/>
      <c r="I71" s="152"/>
    </row>
    <row r="72" spans="2:9" x14ac:dyDescent="0.25">
      <c r="B72" s="829" t="str">
        <f>+IF(Data!$I$4=0%,"(With 10% Rural area allowence)","(With out Rural area allowence Due to MA)")</f>
        <v>(With out Rural area allowence Due to MA)</v>
      </c>
      <c r="C72" s="829">
        <f>IF(Data!I4=0%,(0.1*RSF!C65),(0))</f>
        <v>0</v>
      </c>
      <c r="D72" s="90"/>
      <c r="E72" s="90">
        <f>E65*0.1</f>
        <v>618000</v>
      </c>
      <c r="F72" s="90"/>
      <c r="G72" s="90"/>
      <c r="H72" s="90"/>
      <c r="I72" s="152"/>
    </row>
    <row r="73" spans="2:9" x14ac:dyDescent="0.25">
      <c r="B73" s="832" t="s">
        <v>892</v>
      </c>
      <c r="C73" s="829">
        <f>SUM(C65:C72)</f>
        <v>20050000</v>
      </c>
      <c r="D73" s="90"/>
      <c r="E73" s="829">
        <f>SUM(E65:E72)</f>
        <v>6921600</v>
      </c>
      <c r="F73" s="90"/>
      <c r="G73" s="90"/>
      <c r="H73" s="90"/>
      <c r="I73" s="379"/>
    </row>
    <row r="74" spans="2:9" x14ac:dyDescent="0.25">
      <c r="B74" s="833" t="s">
        <v>2138</v>
      </c>
      <c r="C74" s="829">
        <f>+ROUND(C73*Data!I5,0)</f>
        <v>2729808</v>
      </c>
      <c r="D74" s="90"/>
      <c r="E74" s="90"/>
      <c r="F74" s="90"/>
      <c r="G74" s="90"/>
      <c r="H74" s="90"/>
      <c r="I74" s="152"/>
    </row>
    <row r="75" spans="2:9" x14ac:dyDescent="0.25">
      <c r="B75" s="834" t="s">
        <v>563</v>
      </c>
      <c r="C75" s="834">
        <f>+C76-(C73+C74)</f>
        <v>192</v>
      </c>
      <c r="D75" s="90"/>
      <c r="E75" s="835" t="s">
        <v>893</v>
      </c>
      <c r="F75" s="835" t="s">
        <v>894</v>
      </c>
      <c r="G75" s="90"/>
      <c r="H75" s="90"/>
      <c r="I75" s="152"/>
    </row>
    <row r="76" spans="2:9" x14ac:dyDescent="0.25">
      <c r="B76" s="836" t="s">
        <v>895</v>
      </c>
      <c r="C76" s="837">
        <f>+ROUNDUP((C73+C74)/10000,0)*10000</f>
        <v>22780000</v>
      </c>
      <c r="D76" s="90"/>
      <c r="E76" s="838">
        <f>+C76-C75</f>
        <v>22779808</v>
      </c>
      <c r="F76" s="839">
        <f>+ROUND(E76/C62,2)</f>
        <v>4555961.5999999996</v>
      </c>
      <c r="G76" s="90"/>
      <c r="H76" s="90"/>
      <c r="I76" s="379"/>
    </row>
    <row r="77" spans="2:9" x14ac:dyDescent="0.25">
      <c r="D77" s="90"/>
      <c r="E77" s="150"/>
      <c r="F77" s="90"/>
      <c r="G77" s="90"/>
      <c r="H77" s="90"/>
      <c r="I77" s="152"/>
    </row>
    <row r="78" spans="2:9" x14ac:dyDescent="0.25">
      <c r="D78" s="90"/>
      <c r="E78" s="90"/>
      <c r="F78" s="90"/>
      <c r="G78" s="90"/>
      <c r="H78" s="90"/>
      <c r="I78" s="152"/>
    </row>
    <row r="79" spans="2:9" s="367" customFormat="1" ht="12.75" x14ac:dyDescent="0.2">
      <c r="B79" s="368"/>
      <c r="E79" s="369"/>
      <c r="G79" s="370"/>
      <c r="H79" s="371"/>
    </row>
    <row r="80" spans="2:9" s="367" customFormat="1" ht="12.75" x14ac:dyDescent="0.2">
      <c r="B80" s="368"/>
      <c r="E80" s="369"/>
      <c r="G80" s="369"/>
      <c r="H80" s="371"/>
    </row>
    <row r="81" spans="2:8" s="367" customFormat="1" ht="12.75" x14ac:dyDescent="0.2">
      <c r="B81" s="368"/>
      <c r="C81" s="372"/>
      <c r="D81" s="372"/>
      <c r="E81" s="372"/>
      <c r="F81" s="372"/>
      <c r="G81" s="373"/>
      <c r="H81" s="371"/>
    </row>
    <row r="82" spans="2:8" s="367" customFormat="1" ht="12.75" x14ac:dyDescent="0.2">
      <c r="B82" s="368"/>
      <c r="C82" s="369"/>
      <c r="D82" s="369"/>
      <c r="E82" s="369"/>
      <c r="F82" s="369"/>
      <c r="G82" s="369"/>
      <c r="H82" s="371"/>
    </row>
    <row r="83" spans="2:8" s="367" customFormat="1" ht="12.75" x14ac:dyDescent="0.2">
      <c r="B83" s="374"/>
      <c r="C83" s="368"/>
      <c r="D83" s="372"/>
      <c r="F83" s="372"/>
      <c r="G83" s="369"/>
      <c r="H83" s="371"/>
    </row>
    <row r="84" spans="2:8" s="367" customFormat="1" ht="12.75" x14ac:dyDescent="0.2">
      <c r="B84" s="368"/>
      <c r="C84" s="368"/>
      <c r="D84" s="372"/>
      <c r="F84" s="372"/>
      <c r="G84" s="369"/>
      <c r="H84" s="371"/>
    </row>
    <row r="94" spans="2:8" x14ac:dyDescent="0.25">
      <c r="E94" s="840"/>
    </row>
  </sheetData>
  <mergeCells count="4">
    <mergeCell ref="A1:C1"/>
    <mergeCell ref="B4:C4"/>
    <mergeCell ref="A6:A7"/>
    <mergeCell ref="C6:C7"/>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10"/>
  <sheetViews>
    <sheetView topLeftCell="A86" workbookViewId="0">
      <selection activeCell="H87" sqref="H87"/>
    </sheetView>
  </sheetViews>
  <sheetFormatPr defaultColWidth="9.140625" defaultRowHeight="12.75" x14ac:dyDescent="0.2"/>
  <cols>
    <col min="1" max="8" width="9.140625" style="129"/>
    <col min="9" max="9" width="12.7109375" style="129" customWidth="1"/>
    <col min="10" max="16384" width="9.140625" style="129"/>
  </cols>
  <sheetData>
    <row r="2" spans="2:15" x14ac:dyDescent="0.2">
      <c r="C2" s="409" t="s">
        <v>320</v>
      </c>
      <c r="D2" s="409"/>
      <c r="E2" s="410">
        <f>+C19</f>
        <v>4</v>
      </c>
      <c r="F2" s="410">
        <f>+F18</f>
        <v>6</v>
      </c>
      <c r="G2" s="129" t="s">
        <v>321</v>
      </c>
    </row>
    <row r="3" spans="2:15" x14ac:dyDescent="0.2">
      <c r="C3" s="139"/>
    </row>
    <row r="6" spans="2:15" x14ac:dyDescent="0.2">
      <c r="F6" s="411">
        <f>+(C19+2*0.23+2*0.3)</f>
        <v>5.0599999999999996</v>
      </c>
    </row>
    <row r="8" spans="2:15" x14ac:dyDescent="0.2">
      <c r="C8" s="411">
        <f>+(F18+2*0.23+2*0.3)</f>
        <v>7.06</v>
      </c>
      <c r="G8" s="412" t="s">
        <v>322</v>
      </c>
      <c r="H8" s="413"/>
      <c r="I8" s="414">
        <f>+((INT(((SQRT((J8*25+2.1)*(C19^2)*100*(1/0.659)))*0.001+0.02)*40))*0.025)+0.025+L8</f>
        <v>0.15</v>
      </c>
      <c r="J8" s="415">
        <v>0.1</v>
      </c>
      <c r="K8" s="416" t="s">
        <v>323</v>
      </c>
      <c r="L8" s="417"/>
    </row>
    <row r="11" spans="2:15" x14ac:dyDescent="0.2">
      <c r="H11" s="412" t="s">
        <v>324</v>
      </c>
      <c r="I11" s="413"/>
      <c r="J11" s="418">
        <v>0.23</v>
      </c>
    </row>
    <row r="12" spans="2:15" x14ac:dyDescent="0.2">
      <c r="H12" s="412" t="s">
        <v>325</v>
      </c>
      <c r="I12" s="413"/>
      <c r="J12" s="419">
        <v>0.23</v>
      </c>
    </row>
    <row r="13" spans="2:15" x14ac:dyDescent="0.2">
      <c r="H13" s="412" t="s">
        <v>326</v>
      </c>
      <c r="I13" s="413"/>
      <c r="J13" s="420">
        <v>6</v>
      </c>
      <c r="L13" s="421">
        <f>+INT(F18/3)</f>
        <v>2</v>
      </c>
      <c r="N13" s="422" t="s">
        <v>327</v>
      </c>
      <c r="O13" s="422"/>
    </row>
    <row r="14" spans="2:15" x14ac:dyDescent="0.2">
      <c r="D14" s="423">
        <v>1.2</v>
      </c>
      <c r="H14" s="412" t="s">
        <v>328</v>
      </c>
      <c r="I14" s="413"/>
      <c r="J14" s="419">
        <v>0.23</v>
      </c>
      <c r="N14" s="422" t="s">
        <v>329</v>
      </c>
      <c r="O14" s="422">
        <v>4</v>
      </c>
    </row>
    <row r="15" spans="2:15" x14ac:dyDescent="0.2">
      <c r="B15" s="423">
        <v>3.6</v>
      </c>
      <c r="D15" s="334">
        <v>0.9</v>
      </c>
      <c r="H15" s="412" t="s">
        <v>330</v>
      </c>
      <c r="I15" s="413"/>
      <c r="J15" s="418">
        <v>0.23</v>
      </c>
      <c r="N15" s="422" t="s">
        <v>331</v>
      </c>
      <c r="O15" s="422">
        <v>6</v>
      </c>
    </row>
    <row r="16" spans="2:15" x14ac:dyDescent="0.2">
      <c r="H16" s="413"/>
      <c r="I16" s="413" t="s">
        <v>332</v>
      </c>
      <c r="J16" s="424">
        <f>IF(F2&lt;6,2,4)</f>
        <v>4</v>
      </c>
      <c r="N16" s="422" t="s">
        <v>333</v>
      </c>
      <c r="O16" s="422">
        <v>8</v>
      </c>
    </row>
    <row r="18" spans="1:9" x14ac:dyDescent="0.2">
      <c r="F18" s="425">
        <v>6</v>
      </c>
    </row>
    <row r="19" spans="1:9" x14ac:dyDescent="0.2">
      <c r="C19" s="426">
        <v>4</v>
      </c>
    </row>
    <row r="23" spans="1:9" x14ac:dyDescent="0.2">
      <c r="B23" s="129" t="s">
        <v>334</v>
      </c>
      <c r="D23" s="427">
        <f>+E2</f>
        <v>4</v>
      </c>
      <c r="E23" s="427">
        <f>+F2</f>
        <v>6</v>
      </c>
      <c r="F23" s="129" t="s">
        <v>335</v>
      </c>
    </row>
    <row r="25" spans="1:9" x14ac:dyDescent="0.2">
      <c r="B25" s="129" t="s">
        <v>127</v>
      </c>
      <c r="E25" s="130" t="s">
        <v>336</v>
      </c>
    </row>
    <row r="26" spans="1:9" x14ac:dyDescent="0.2">
      <c r="B26" s="129" t="s">
        <v>129</v>
      </c>
      <c r="E26" s="129" t="s">
        <v>130</v>
      </c>
    </row>
    <row r="27" spans="1:9" x14ac:dyDescent="0.2">
      <c r="B27" s="130" t="s">
        <v>131</v>
      </c>
    </row>
    <row r="28" spans="1:9" x14ac:dyDescent="0.2">
      <c r="B28" s="130" t="s">
        <v>279</v>
      </c>
    </row>
    <row r="32" spans="1:9" x14ac:dyDescent="0.2">
      <c r="A32" s="428" t="s">
        <v>337</v>
      </c>
      <c r="B32" s="428"/>
      <c r="C32" s="428"/>
      <c r="D32" s="428"/>
      <c r="E32" s="428"/>
      <c r="F32" s="428"/>
      <c r="G32" s="428"/>
      <c r="H32" s="428"/>
      <c r="I32" s="428"/>
    </row>
    <row r="33" spans="1:14" x14ac:dyDescent="0.2">
      <c r="A33" s="429" t="s">
        <v>338</v>
      </c>
      <c r="B33" s="429"/>
      <c r="C33" s="429"/>
      <c r="D33" s="429"/>
      <c r="E33" s="429"/>
      <c r="F33" s="430">
        <f>+D23</f>
        <v>4</v>
      </c>
      <c r="G33" s="430">
        <f>+E23</f>
        <v>6</v>
      </c>
      <c r="H33" s="429" t="s">
        <v>335</v>
      </c>
      <c r="I33" s="429"/>
    </row>
    <row r="34" spans="1:14" x14ac:dyDescent="0.2">
      <c r="A34" s="2126" t="str">
        <f>Design!B1</f>
        <v>CPWS SCHEME TO                                                                                                       DISTRICT</v>
      </c>
      <c r="B34" s="2126"/>
      <c r="C34" s="2126"/>
      <c r="D34" s="2126"/>
      <c r="E34" s="2126"/>
      <c r="F34" s="2126"/>
      <c r="G34" s="431" t="s">
        <v>136</v>
      </c>
      <c r="H34" s="432">
        <f>+I129/100000</f>
        <v>3.85</v>
      </c>
      <c r="I34" s="129" t="s">
        <v>283</v>
      </c>
      <c r="J34" s="155"/>
    </row>
    <row r="35" spans="1:14" s="434" customFormat="1" ht="14.25" x14ac:dyDescent="0.2">
      <c r="A35" s="2127" t="s">
        <v>284</v>
      </c>
      <c r="B35" s="2128"/>
      <c r="C35" s="2129"/>
      <c r="D35" s="2127" t="s">
        <v>339</v>
      </c>
      <c r="E35" s="2128"/>
      <c r="F35" s="2129"/>
      <c r="G35" s="433" t="s">
        <v>139</v>
      </c>
      <c r="H35" s="433" t="s">
        <v>140</v>
      </c>
      <c r="I35" s="433" t="s">
        <v>141</v>
      </c>
    </row>
    <row r="36" spans="1:14" x14ac:dyDescent="0.2">
      <c r="A36" s="435" t="s">
        <v>340</v>
      </c>
      <c r="B36" s="435"/>
      <c r="C36" s="435" t="s">
        <v>341</v>
      </c>
      <c r="D36" s="435" t="s">
        <v>342</v>
      </c>
      <c r="E36" s="435" t="s">
        <v>343</v>
      </c>
      <c r="F36" s="435" t="s">
        <v>344</v>
      </c>
      <c r="G36" s="435"/>
      <c r="H36" s="435"/>
      <c r="I36" s="435"/>
    </row>
    <row r="37" spans="1:14" ht="51" hidden="1" customHeight="1" x14ac:dyDescent="0.2">
      <c r="A37" s="436">
        <v>1</v>
      </c>
      <c r="B37" s="2110" t="s">
        <v>345</v>
      </c>
      <c r="C37" s="2110"/>
      <c r="D37" s="2110"/>
      <c r="E37" s="2110"/>
      <c r="F37" s="2110"/>
      <c r="G37" s="2110"/>
      <c r="H37" s="155"/>
      <c r="I37" s="155"/>
      <c r="J37" s="437"/>
      <c r="K37" s="438"/>
      <c r="L37" s="438"/>
      <c r="M37" s="438"/>
    </row>
    <row r="38" spans="1:14" hidden="1" x14ac:dyDescent="0.2">
      <c r="A38" s="436"/>
      <c r="B38" s="439"/>
      <c r="C38" s="440" t="s">
        <v>346</v>
      </c>
      <c r="D38" s="441">
        <v>0</v>
      </c>
      <c r="E38" s="441"/>
      <c r="F38" s="155"/>
      <c r="G38" s="155">
        <f>D38</f>
        <v>0</v>
      </c>
      <c r="H38" s="149">
        <f>Data!H2194</f>
        <v>3671.3</v>
      </c>
      <c r="I38" s="155">
        <f>+ROUND(H38*G38,0)</f>
        <v>0</v>
      </c>
      <c r="J38" s="437"/>
      <c r="K38" s="438"/>
      <c r="L38" s="438"/>
      <c r="M38" s="438"/>
    </row>
    <row r="39" spans="1:14" hidden="1" x14ac:dyDescent="0.2">
      <c r="A39" s="436"/>
      <c r="B39" s="439"/>
      <c r="C39" s="441"/>
      <c r="D39" s="441"/>
      <c r="E39" s="441"/>
      <c r="F39" s="155"/>
      <c r="G39" s="155"/>
      <c r="H39" s="155"/>
      <c r="I39" s="155"/>
      <c r="J39" s="437"/>
      <c r="K39" s="438"/>
      <c r="L39" s="438"/>
      <c r="M39" s="438"/>
    </row>
    <row r="40" spans="1:14" hidden="1" x14ac:dyDescent="0.2">
      <c r="A40" s="436"/>
      <c r="B40" s="439"/>
      <c r="C40" s="441"/>
      <c r="D40" s="441"/>
      <c r="E40" s="441"/>
      <c r="F40" s="155"/>
      <c r="G40" s="155"/>
      <c r="H40" s="155"/>
      <c r="I40" s="155"/>
      <c r="J40" s="437"/>
      <c r="K40" s="438"/>
      <c r="L40" s="438"/>
      <c r="M40" s="438"/>
    </row>
    <row r="41" spans="1:14" ht="86.25" customHeight="1" x14ac:dyDescent="0.2">
      <c r="A41" s="436">
        <v>1</v>
      </c>
      <c r="B41" s="2075" t="s">
        <v>347</v>
      </c>
      <c r="C41" s="2076"/>
      <c r="D41" s="2076"/>
      <c r="E41" s="2076"/>
      <c r="F41" s="2076"/>
      <c r="G41" s="155"/>
      <c r="H41" s="155"/>
      <c r="I41" s="155"/>
      <c r="J41" s="437"/>
      <c r="K41" s="438"/>
      <c r="L41" s="438"/>
      <c r="M41" s="438"/>
    </row>
    <row r="42" spans="1:14" x14ac:dyDescent="0.2">
      <c r="A42" s="401"/>
      <c r="B42" s="442" t="s">
        <v>348</v>
      </c>
      <c r="C42" s="155"/>
      <c r="D42" s="443">
        <f>2*((C19+0.23)+(F18+0.23))</f>
        <v>20.92</v>
      </c>
      <c r="E42" s="155">
        <v>0.6</v>
      </c>
      <c r="F42" s="155">
        <f>0.45+0.3</f>
        <v>0.75</v>
      </c>
      <c r="G42" s="149">
        <f>+F42*E42*D42</f>
        <v>9.4139999999999997</v>
      </c>
      <c r="H42" s="155"/>
      <c r="I42" s="155"/>
    </row>
    <row r="43" spans="1:14" x14ac:dyDescent="0.2">
      <c r="A43" s="401"/>
      <c r="B43" s="442" t="s">
        <v>349</v>
      </c>
      <c r="C43" s="444">
        <f>+J13</f>
        <v>6</v>
      </c>
      <c r="D43" s="155">
        <v>1.2</v>
      </c>
      <c r="E43" s="155">
        <v>1.2</v>
      </c>
      <c r="F43" s="149">
        <v>1.2</v>
      </c>
      <c r="G43" s="443">
        <f>+E43*D43*C43*F43</f>
        <v>10.368</v>
      </c>
      <c r="H43" s="155"/>
      <c r="I43" s="155"/>
    </row>
    <row r="44" spans="1:14" x14ac:dyDescent="0.2">
      <c r="A44" s="155"/>
      <c r="B44" s="442" t="s">
        <v>350</v>
      </c>
      <c r="C44" s="444">
        <v>1</v>
      </c>
      <c r="D44" s="155">
        <v>1.5</v>
      </c>
      <c r="E44" s="155">
        <v>1.2</v>
      </c>
      <c r="F44" s="149">
        <v>0.6</v>
      </c>
      <c r="G44" s="443">
        <f>+E44*D44*C44*F44</f>
        <v>1.0799999999999998</v>
      </c>
      <c r="H44" s="155"/>
      <c r="I44" s="155"/>
    </row>
    <row r="45" spans="1:14" x14ac:dyDescent="0.2">
      <c r="A45" s="155"/>
      <c r="B45" s="442" t="s">
        <v>351</v>
      </c>
      <c r="C45" s="444">
        <f>C43</f>
        <v>6</v>
      </c>
      <c r="D45" s="155">
        <f>E42</f>
        <v>0.6</v>
      </c>
      <c r="E45" s="155">
        <f>+E43</f>
        <v>1.2</v>
      </c>
      <c r="F45" s="149">
        <f>F42</f>
        <v>0.75</v>
      </c>
      <c r="G45" s="443">
        <f>+E45*D45*C45*F45</f>
        <v>3.24</v>
      </c>
      <c r="H45" s="155"/>
      <c r="I45" s="155"/>
    </row>
    <row r="46" spans="1:14" x14ac:dyDescent="0.2">
      <c r="A46" s="155"/>
      <c r="B46" s="445"/>
      <c r="C46" s="155"/>
      <c r="D46" s="155"/>
      <c r="E46" s="155"/>
      <c r="F46" s="446" t="s">
        <v>23</v>
      </c>
      <c r="G46" s="149">
        <f>+G42+G43-G45+G44</f>
        <v>17.622</v>
      </c>
      <c r="H46" s="447">
        <f>Data!I12</f>
        <v>158.80000000000001</v>
      </c>
      <c r="I46" s="155">
        <f>+ROUND(H46*G46,0)</f>
        <v>2798</v>
      </c>
    </row>
    <row r="47" spans="1:14" ht="39" customHeight="1" x14ac:dyDescent="0.2">
      <c r="A47" s="436">
        <v>2</v>
      </c>
      <c r="B47" s="2094" t="s">
        <v>145</v>
      </c>
      <c r="C47" s="2093"/>
      <c r="D47" s="2093"/>
      <c r="E47" s="2093"/>
      <c r="F47" s="155"/>
      <c r="G47" s="155"/>
      <c r="H47" s="155"/>
      <c r="I47" s="155"/>
      <c r="K47" s="448"/>
      <c r="L47" s="438"/>
      <c r="M47" s="438"/>
      <c r="N47" s="438"/>
    </row>
    <row r="48" spans="1:14" x14ac:dyDescent="0.2">
      <c r="A48" s="155"/>
      <c r="B48" s="442" t="s">
        <v>352</v>
      </c>
      <c r="C48" s="444">
        <f>C43</f>
        <v>6</v>
      </c>
      <c r="D48" s="155">
        <f>+D43</f>
        <v>1.2</v>
      </c>
      <c r="E48" s="155">
        <f>+E43</f>
        <v>1.2</v>
      </c>
      <c r="F48" s="149">
        <v>0.3</v>
      </c>
      <c r="G48" s="443">
        <f>+E48*D48*C48*F48</f>
        <v>2.5920000000000001</v>
      </c>
      <c r="H48" s="155"/>
      <c r="I48" s="155"/>
    </row>
    <row r="49" spans="1:9" x14ac:dyDescent="0.2">
      <c r="A49" s="155"/>
      <c r="B49" s="442" t="s">
        <v>353</v>
      </c>
      <c r="C49" s="449">
        <f>+D42</f>
        <v>20.92</v>
      </c>
      <c r="D49" s="155">
        <f>+E42</f>
        <v>0.6</v>
      </c>
      <c r="E49" s="155">
        <v>0.15</v>
      </c>
      <c r="F49" s="149"/>
      <c r="G49" s="443">
        <f>+C49*D49*E49</f>
        <v>1.8828</v>
      </c>
      <c r="H49" s="155"/>
      <c r="I49" s="155"/>
    </row>
    <row r="50" spans="1:9" x14ac:dyDescent="0.2">
      <c r="A50" s="401"/>
      <c r="B50" s="442" t="s">
        <v>354</v>
      </c>
      <c r="C50" s="444">
        <f>C48</f>
        <v>6</v>
      </c>
      <c r="D50" s="155">
        <f>D45</f>
        <v>0.6</v>
      </c>
      <c r="E50" s="155">
        <f>E45</f>
        <v>1.2</v>
      </c>
      <c r="F50" s="149">
        <f>+E49</f>
        <v>0.15</v>
      </c>
      <c r="G50" s="443">
        <f>+F50*E50*D50*C50</f>
        <v>0.64800000000000002</v>
      </c>
      <c r="H50" s="155"/>
      <c r="I50" s="155"/>
    </row>
    <row r="51" spans="1:9" x14ac:dyDescent="0.2">
      <c r="A51" s="401"/>
      <c r="B51" s="442"/>
      <c r="C51" s="155"/>
      <c r="D51" s="155"/>
      <c r="E51" s="155"/>
      <c r="F51" s="446" t="s">
        <v>23</v>
      </c>
      <c r="G51" s="149">
        <f>+G48+G49-G50</f>
        <v>3.8268</v>
      </c>
      <c r="H51" s="447">
        <f>Data!I30</f>
        <v>937.7</v>
      </c>
      <c r="I51" s="155">
        <f>+ROUND(H51*G51,0)</f>
        <v>3588</v>
      </c>
    </row>
    <row r="52" spans="1:9" ht="42.75" customHeight="1" x14ac:dyDescent="0.2">
      <c r="A52" s="436">
        <v>3</v>
      </c>
      <c r="B52" s="2094" t="s">
        <v>144</v>
      </c>
      <c r="C52" s="2093"/>
      <c r="D52" s="2093"/>
      <c r="E52" s="2093"/>
      <c r="F52" s="155"/>
      <c r="G52" s="155"/>
      <c r="H52" s="155"/>
      <c r="I52" s="155"/>
    </row>
    <row r="53" spans="1:9" x14ac:dyDescent="0.2">
      <c r="A53" s="155"/>
      <c r="B53" s="442" t="s">
        <v>355</v>
      </c>
      <c r="C53" s="444">
        <f>C50</f>
        <v>6</v>
      </c>
      <c r="D53" s="155">
        <f>+D43</f>
        <v>1.2</v>
      </c>
      <c r="E53" s="155">
        <f>+E43</f>
        <v>1.2</v>
      </c>
      <c r="F53" s="149">
        <v>0.3</v>
      </c>
      <c r="G53" s="443">
        <f>+E53*D53*C53*F53</f>
        <v>2.5920000000000001</v>
      </c>
      <c r="H53" s="444"/>
      <c r="I53" s="155"/>
    </row>
    <row r="54" spans="1:9" x14ac:dyDescent="0.2">
      <c r="A54" s="155"/>
      <c r="B54" s="442" t="s">
        <v>353</v>
      </c>
      <c r="C54" s="449">
        <f>+D42</f>
        <v>20.92</v>
      </c>
      <c r="D54" s="155">
        <f>+E42</f>
        <v>0.6</v>
      </c>
      <c r="E54" s="155"/>
      <c r="F54" s="149">
        <v>0.15</v>
      </c>
      <c r="G54" s="443">
        <f>+D54*C54*F54</f>
        <v>1.8828</v>
      </c>
      <c r="H54" s="444"/>
      <c r="I54" s="155"/>
    </row>
    <row r="55" spans="1:9" x14ac:dyDescent="0.2">
      <c r="A55" s="155"/>
      <c r="B55" s="442" t="s">
        <v>350</v>
      </c>
      <c r="C55" s="444">
        <v>1</v>
      </c>
      <c r="D55" s="155">
        <v>1.5</v>
      </c>
      <c r="E55" s="155">
        <v>1.2</v>
      </c>
      <c r="F55" s="149">
        <v>0.3</v>
      </c>
      <c r="G55" s="443">
        <f>+E55*D55*C55*F55</f>
        <v>0.53999999999999992</v>
      </c>
      <c r="H55" s="444"/>
      <c r="I55" s="155"/>
    </row>
    <row r="56" spans="1:9" x14ac:dyDescent="0.2">
      <c r="A56" s="155"/>
      <c r="B56" s="442" t="s">
        <v>354</v>
      </c>
      <c r="C56" s="444">
        <f>C50</f>
        <v>6</v>
      </c>
      <c r="D56" s="155">
        <f>D48</f>
        <v>1.2</v>
      </c>
      <c r="E56" s="155">
        <f>E50</f>
        <v>1.2</v>
      </c>
      <c r="F56" s="149">
        <v>0.3</v>
      </c>
      <c r="G56" s="443">
        <f>-(+F56*E56*D56*C56)</f>
        <v>-2.5920000000000001</v>
      </c>
      <c r="H56" s="444"/>
      <c r="I56" s="155"/>
    </row>
    <row r="57" spans="1:9" x14ac:dyDescent="0.2">
      <c r="A57" s="401"/>
      <c r="B57" s="155"/>
      <c r="C57" s="444"/>
      <c r="D57" s="155"/>
      <c r="E57" s="155"/>
      <c r="F57" s="157" t="s">
        <v>23</v>
      </c>
      <c r="G57" s="443">
        <f>(+G53+G54+G55)+G56</f>
        <v>2.4228000000000001</v>
      </c>
      <c r="H57" s="447">
        <f>Data!I44</f>
        <v>4470.5</v>
      </c>
      <c r="I57" s="155">
        <f>+ROUND(H57*G57,0)</f>
        <v>10831</v>
      </c>
    </row>
    <row r="58" spans="1:9" ht="61.5" customHeight="1" x14ac:dyDescent="0.2">
      <c r="A58" s="436">
        <v>4</v>
      </c>
      <c r="B58" s="2092" t="s">
        <v>356</v>
      </c>
      <c r="C58" s="2093"/>
      <c r="D58" s="2093"/>
      <c r="E58" s="2093"/>
      <c r="F58" s="155"/>
      <c r="G58" s="155"/>
      <c r="H58" s="155"/>
      <c r="I58" s="151"/>
    </row>
    <row r="59" spans="1:9" x14ac:dyDescent="0.2">
      <c r="A59" s="155"/>
      <c r="B59" s="442" t="s">
        <v>355</v>
      </c>
      <c r="C59" s="444">
        <f>+J13</f>
        <v>6</v>
      </c>
      <c r="D59" s="155">
        <v>1.2</v>
      </c>
      <c r="E59" s="155">
        <v>1.2</v>
      </c>
      <c r="F59" s="149">
        <v>0.2</v>
      </c>
      <c r="G59" s="443">
        <f>+F59*E59*D59*C59</f>
        <v>1.7279999999999998</v>
      </c>
      <c r="H59" s="444"/>
      <c r="I59" s="155"/>
    </row>
    <row r="60" spans="1:9" x14ac:dyDescent="0.2">
      <c r="A60" s="155"/>
      <c r="B60" s="442" t="s">
        <v>357</v>
      </c>
      <c r="C60" s="444">
        <f>+J13</f>
        <v>6</v>
      </c>
      <c r="D60" s="155">
        <f>E60</f>
        <v>0.75</v>
      </c>
      <c r="E60" s="155">
        <f>(1.2+0.3)/2</f>
        <v>0.75</v>
      </c>
      <c r="F60" s="149">
        <v>0.4</v>
      </c>
      <c r="G60" s="443">
        <f>+F60*D60*C60*0.9</f>
        <v>1.6200000000000003</v>
      </c>
      <c r="H60" s="444"/>
      <c r="I60" s="155"/>
    </row>
    <row r="61" spans="1:9" x14ac:dyDescent="0.2">
      <c r="A61" s="155"/>
      <c r="B61" s="442"/>
      <c r="C61" s="444"/>
      <c r="D61" s="155"/>
      <c r="E61" s="155"/>
      <c r="F61" s="157" t="s">
        <v>23</v>
      </c>
      <c r="G61" s="443">
        <f>+G60+G59</f>
        <v>3.3479999999999999</v>
      </c>
      <c r="H61" s="447">
        <f>Data!H161</f>
        <v>8644</v>
      </c>
      <c r="I61" s="155">
        <f>+ROUND(H61*G61,0)</f>
        <v>28940</v>
      </c>
    </row>
    <row r="62" spans="1:9" ht="67.5" customHeight="1" x14ac:dyDescent="0.2">
      <c r="A62" s="436">
        <v>5</v>
      </c>
      <c r="B62" s="2092" t="s">
        <v>358</v>
      </c>
      <c r="C62" s="2093"/>
      <c r="D62" s="2093"/>
      <c r="E62" s="2093"/>
      <c r="F62" s="155"/>
      <c r="G62" s="155"/>
      <c r="H62" s="155"/>
      <c r="I62" s="155"/>
    </row>
    <row r="63" spans="1:9" x14ac:dyDescent="0.2">
      <c r="A63" s="401"/>
      <c r="B63" s="155"/>
      <c r="C63" s="444">
        <f>+J13</f>
        <v>6</v>
      </c>
      <c r="D63" s="155">
        <f>+J12</f>
        <v>0.23</v>
      </c>
      <c r="E63" s="155">
        <f>+J11</f>
        <v>0.23</v>
      </c>
      <c r="F63" s="149">
        <f>+B15-J11</f>
        <v>3.37</v>
      </c>
      <c r="G63" s="443">
        <f>+F63*E63*D63*C63</f>
        <v>1.0696380000000001</v>
      </c>
      <c r="H63" s="447">
        <f>Data!H162</f>
        <v>10571.4</v>
      </c>
      <c r="I63" s="155">
        <f>+ROUND(H63*G63,0)</f>
        <v>11308</v>
      </c>
    </row>
    <row r="64" spans="1:9" ht="63.75" customHeight="1" x14ac:dyDescent="0.2">
      <c r="A64" s="436">
        <v>6</v>
      </c>
      <c r="B64" s="2092" t="s">
        <v>359</v>
      </c>
      <c r="C64" s="2093"/>
      <c r="D64" s="2093"/>
      <c r="E64" s="2093"/>
      <c r="F64" s="155"/>
      <c r="G64" s="155"/>
      <c r="H64" s="155"/>
      <c r="I64" s="151"/>
    </row>
    <row r="65" spans="1:9" x14ac:dyDescent="0.2">
      <c r="A65" s="401"/>
      <c r="B65" s="442" t="s">
        <v>360</v>
      </c>
      <c r="C65" s="444">
        <f>+(INT(F18/3))*1+1</f>
        <v>3</v>
      </c>
      <c r="D65" s="155">
        <f>+C19+J14</f>
        <v>4.2300000000000004</v>
      </c>
      <c r="E65" s="155">
        <f>+J12</f>
        <v>0.23</v>
      </c>
      <c r="F65" s="149">
        <f>+J11</f>
        <v>0.23</v>
      </c>
      <c r="G65" s="443">
        <f>+F65*E65*D65*C65</f>
        <v>0.67130100000000004</v>
      </c>
      <c r="H65" s="444"/>
      <c r="I65" s="155"/>
    </row>
    <row r="66" spans="1:9" x14ac:dyDescent="0.2">
      <c r="A66" s="401"/>
      <c r="B66" s="442" t="s">
        <v>361</v>
      </c>
      <c r="C66" s="444">
        <v>2</v>
      </c>
      <c r="D66" s="155">
        <f>+F18+J15</f>
        <v>6.23</v>
      </c>
      <c r="E66" s="155">
        <f>+E65</f>
        <v>0.23</v>
      </c>
      <c r="F66" s="149">
        <f>+F65</f>
        <v>0.23</v>
      </c>
      <c r="G66" s="443">
        <f>+F66*E66*D66*C66</f>
        <v>0.65913400000000011</v>
      </c>
      <c r="H66" s="444"/>
      <c r="I66" s="155"/>
    </row>
    <row r="67" spans="1:9" x14ac:dyDescent="0.2">
      <c r="A67" s="155"/>
      <c r="B67" s="155"/>
      <c r="C67" s="444"/>
      <c r="D67" s="155"/>
      <c r="E67" s="155"/>
      <c r="F67" s="157" t="s">
        <v>23</v>
      </c>
      <c r="G67" s="443">
        <f>+G66+G65</f>
        <v>1.330435</v>
      </c>
      <c r="H67" s="447">
        <f>Data!H164</f>
        <v>10909.7</v>
      </c>
      <c r="I67" s="155">
        <f>+ROUND(H67*G67,0)</f>
        <v>14515</v>
      </c>
    </row>
    <row r="68" spans="1:9" ht="53.25" customHeight="1" x14ac:dyDescent="0.2">
      <c r="A68" s="436">
        <v>7</v>
      </c>
      <c r="B68" s="2092" t="s">
        <v>362</v>
      </c>
      <c r="C68" s="2093"/>
      <c r="D68" s="2093"/>
      <c r="E68" s="2093"/>
      <c r="F68" s="155"/>
      <c r="G68" s="155"/>
      <c r="H68" s="155"/>
      <c r="I68" s="155"/>
    </row>
    <row r="69" spans="1:9" x14ac:dyDescent="0.2">
      <c r="A69" s="155"/>
      <c r="B69" s="442" t="s">
        <v>363</v>
      </c>
      <c r="C69" s="444">
        <f>+D42</f>
        <v>20.92</v>
      </c>
      <c r="D69" s="155">
        <f>+E42</f>
        <v>0.6</v>
      </c>
      <c r="E69" s="155">
        <v>0.6</v>
      </c>
      <c r="F69" s="149"/>
      <c r="G69" s="149">
        <f>+E69*D69*C69</f>
        <v>7.5312000000000001</v>
      </c>
      <c r="H69" s="444"/>
      <c r="I69" s="155"/>
    </row>
    <row r="70" spans="1:9" x14ac:dyDescent="0.2">
      <c r="A70" s="155"/>
      <c r="B70" s="442" t="s">
        <v>364</v>
      </c>
      <c r="C70" s="444">
        <f>+C69</f>
        <v>20.92</v>
      </c>
      <c r="D70" s="155">
        <v>0.3</v>
      </c>
      <c r="E70" s="155">
        <v>0.6</v>
      </c>
      <c r="F70" s="149"/>
      <c r="G70" s="149">
        <f>+E70*D70*C70</f>
        <v>3.7656000000000001</v>
      </c>
      <c r="H70" s="444"/>
      <c r="I70" s="155"/>
    </row>
    <row r="71" spans="1:9" ht="14.25" x14ac:dyDescent="0.2">
      <c r="A71" s="155"/>
      <c r="B71" s="442" t="s">
        <v>365</v>
      </c>
      <c r="C71" s="444">
        <v>1</v>
      </c>
      <c r="D71" s="155">
        <v>1.5</v>
      </c>
      <c r="E71" s="155">
        <v>1.2</v>
      </c>
      <c r="F71" s="149">
        <v>0.3</v>
      </c>
      <c r="G71" s="149">
        <f>+C71*D71*E71*F71</f>
        <v>0.53999999999999992</v>
      </c>
      <c r="H71" s="444"/>
      <c r="I71" s="155"/>
    </row>
    <row r="72" spans="1:9" ht="14.25" x14ac:dyDescent="0.2">
      <c r="A72" s="401"/>
      <c r="B72" s="442" t="s">
        <v>366</v>
      </c>
      <c r="C72" s="444">
        <v>1</v>
      </c>
      <c r="D72" s="155">
        <v>1.2</v>
      </c>
      <c r="E72" s="155">
        <v>0.9</v>
      </c>
      <c r="F72" s="149">
        <v>0.3</v>
      </c>
      <c r="G72" s="149">
        <f>+F72*E72*D72*C72</f>
        <v>0.32400000000000001</v>
      </c>
      <c r="H72" s="444"/>
      <c r="I72" s="155"/>
    </row>
    <row r="73" spans="1:9" x14ac:dyDescent="0.2">
      <c r="A73" s="401"/>
      <c r="B73" s="155"/>
      <c r="C73" s="444"/>
      <c r="D73" s="155"/>
      <c r="E73" s="155"/>
      <c r="F73" s="157" t="s">
        <v>23</v>
      </c>
      <c r="G73" s="443">
        <f>+G69+G70+G71+G72</f>
        <v>12.1608</v>
      </c>
      <c r="H73" s="447">
        <f>H96</f>
        <v>5143.3999999999996</v>
      </c>
      <c r="I73" s="155">
        <f>+ROUND(H73*G73,0)</f>
        <v>62548</v>
      </c>
    </row>
    <row r="74" spans="1:9" ht="46.5" customHeight="1" x14ac:dyDescent="0.2">
      <c r="A74" s="436">
        <v>8</v>
      </c>
      <c r="B74" s="2092" t="s">
        <v>367</v>
      </c>
      <c r="C74" s="2093"/>
      <c r="D74" s="2093"/>
      <c r="E74" s="2093"/>
      <c r="F74" s="155"/>
      <c r="G74" s="155"/>
      <c r="H74" s="155"/>
      <c r="I74" s="155"/>
    </row>
    <row r="75" spans="1:9" x14ac:dyDescent="0.2">
      <c r="A75" s="155"/>
      <c r="B75" s="442" t="s">
        <v>368</v>
      </c>
      <c r="C75" s="450">
        <v>1</v>
      </c>
      <c r="D75" s="155">
        <v>0.3</v>
      </c>
      <c r="E75" s="155">
        <v>0.23</v>
      </c>
      <c r="F75" s="149">
        <v>0.1</v>
      </c>
      <c r="G75" s="149">
        <f>+F75*E75*D75*C75</f>
        <v>6.9000000000000008E-3</v>
      </c>
      <c r="H75" s="444"/>
      <c r="I75" s="444"/>
    </row>
    <row r="76" spans="1:9" x14ac:dyDescent="0.2">
      <c r="A76" s="401"/>
      <c r="B76" s="442" t="s">
        <v>369</v>
      </c>
      <c r="C76" s="444">
        <f>J16</f>
        <v>4</v>
      </c>
      <c r="D76" s="155">
        <v>0.3</v>
      </c>
      <c r="E76" s="155">
        <v>0.23</v>
      </c>
      <c r="F76" s="149">
        <v>0.1</v>
      </c>
      <c r="G76" s="149">
        <f>+F76*E76*D76*C76</f>
        <v>2.7600000000000003E-2</v>
      </c>
      <c r="H76" s="444"/>
      <c r="I76" s="444"/>
    </row>
    <row r="77" spans="1:9" x14ac:dyDescent="0.2">
      <c r="A77" s="401"/>
      <c r="B77" s="155"/>
      <c r="C77" s="444"/>
      <c r="D77" s="155"/>
      <c r="E77" s="155"/>
      <c r="F77" s="157" t="s">
        <v>23</v>
      </c>
      <c r="G77" s="149">
        <f>+G76+G75</f>
        <v>3.4500000000000003E-2</v>
      </c>
      <c r="H77" s="447">
        <f>Data!H166</f>
        <v>10932.9</v>
      </c>
      <c r="I77" s="155">
        <f>+ROUND(H77*G77,0)</f>
        <v>377</v>
      </c>
    </row>
    <row r="78" spans="1:9" ht="57.75" customHeight="1" x14ac:dyDescent="0.2">
      <c r="A78" s="436">
        <v>9</v>
      </c>
      <c r="B78" s="2092" t="s">
        <v>370</v>
      </c>
      <c r="C78" s="2093"/>
      <c r="D78" s="2093"/>
      <c r="E78" s="2093"/>
      <c r="F78" s="155"/>
      <c r="G78" s="155"/>
      <c r="H78" s="155"/>
      <c r="I78" s="155"/>
    </row>
    <row r="79" spans="1:9" x14ac:dyDescent="0.2">
      <c r="A79" s="155"/>
      <c r="B79" s="442" t="s">
        <v>368</v>
      </c>
      <c r="C79" s="444">
        <v>1</v>
      </c>
      <c r="D79" s="155">
        <v>1.5</v>
      </c>
      <c r="E79" s="155">
        <v>0.23</v>
      </c>
      <c r="F79" s="149">
        <v>0.1</v>
      </c>
      <c r="G79" s="149">
        <f>+F79*E79*D79*C79</f>
        <v>3.4500000000000003E-2</v>
      </c>
      <c r="H79" s="444"/>
      <c r="I79" s="155"/>
    </row>
    <row r="80" spans="1:9" x14ac:dyDescent="0.2">
      <c r="A80" s="155"/>
      <c r="B80" s="442" t="s">
        <v>369</v>
      </c>
      <c r="C80" s="444">
        <f>C76</f>
        <v>4</v>
      </c>
      <c r="D80" s="155">
        <v>1.35</v>
      </c>
      <c r="E80" s="155">
        <v>0.23</v>
      </c>
      <c r="F80" s="149">
        <v>0.1</v>
      </c>
      <c r="G80" s="149">
        <f>+F80*E80*D80*C80</f>
        <v>0.12420000000000002</v>
      </c>
      <c r="H80" s="444"/>
      <c r="I80" s="155"/>
    </row>
    <row r="81" spans="1:15" x14ac:dyDescent="0.2">
      <c r="A81" s="155"/>
      <c r="B81" s="155"/>
      <c r="C81" s="444"/>
      <c r="D81" s="155"/>
      <c r="E81" s="155"/>
      <c r="F81" s="157" t="s">
        <v>23</v>
      </c>
      <c r="G81" s="149">
        <f>+G80+G79</f>
        <v>0.15870000000000001</v>
      </c>
      <c r="H81" s="447">
        <f>Data!H166</f>
        <v>10932.9</v>
      </c>
      <c r="I81" s="155">
        <f>+ROUND(H81*G81,0)</f>
        <v>1735</v>
      </c>
    </row>
    <row r="82" spans="1:15" ht="38.25" customHeight="1" x14ac:dyDescent="0.2">
      <c r="A82" s="436">
        <v>10</v>
      </c>
      <c r="B82" s="2092" t="s">
        <v>371</v>
      </c>
      <c r="C82" s="2092"/>
      <c r="D82" s="2092"/>
      <c r="E82" s="2092"/>
      <c r="F82" s="149"/>
      <c r="G82" s="149"/>
      <c r="H82" s="444"/>
      <c r="I82" s="155"/>
    </row>
    <row r="83" spans="1:15" x14ac:dyDescent="0.2">
      <c r="A83" s="401"/>
      <c r="B83" s="442" t="s">
        <v>372</v>
      </c>
      <c r="C83" s="151">
        <f>C79</f>
        <v>1</v>
      </c>
      <c r="D83" s="155">
        <f>D79</f>
        <v>1.5</v>
      </c>
      <c r="E83" s="451">
        <v>0.6</v>
      </c>
      <c r="F83" s="155">
        <f>(0.075+0.05)/2</f>
        <v>6.25E-2</v>
      </c>
      <c r="G83" s="149">
        <f>C83*D83*E83*F83</f>
        <v>5.6249999999999994E-2</v>
      </c>
      <c r="H83" s="155"/>
      <c r="I83" s="149"/>
    </row>
    <row r="84" spans="1:15" x14ac:dyDescent="0.2">
      <c r="A84" s="401"/>
      <c r="B84" s="442" t="s">
        <v>373</v>
      </c>
      <c r="C84" s="151">
        <f>C80</f>
        <v>4</v>
      </c>
      <c r="D84" s="155">
        <f>D80</f>
        <v>1.35</v>
      </c>
      <c r="E84" s="451">
        <v>0.6</v>
      </c>
      <c r="F84" s="155">
        <f>F83</f>
        <v>6.25E-2</v>
      </c>
      <c r="G84" s="149">
        <f>C84*D84*E84*F84</f>
        <v>0.20250000000000001</v>
      </c>
      <c r="H84" s="155"/>
      <c r="I84" s="149"/>
    </row>
    <row r="85" spans="1:15" x14ac:dyDescent="0.2">
      <c r="A85" s="401"/>
      <c r="B85" s="155"/>
      <c r="C85" s="155"/>
      <c r="D85" s="155"/>
      <c r="E85" s="149"/>
      <c r="F85" s="157" t="s">
        <v>23</v>
      </c>
      <c r="G85" s="149">
        <f>+G84+G83</f>
        <v>0.25875000000000004</v>
      </c>
      <c r="H85" s="149">
        <f>Data!H167</f>
        <v>8625.7000000000007</v>
      </c>
      <c r="I85" s="151">
        <f>+ROUND(H85*G85,0)</f>
        <v>2232</v>
      </c>
    </row>
    <row r="86" spans="1:15" ht="68.25" customHeight="1" x14ac:dyDescent="0.2">
      <c r="A86" s="436">
        <v>11</v>
      </c>
      <c r="B86" s="2092" t="str">
        <f>+CONCATENATE("VRCC(1:1.5:3) using 20 mm HBG metal including cost and conveyance of all the materials,but excluding the cost of the steel etc complete for Roof Slab with",I8*1000," mm Thick")</f>
        <v>VRCC(1:1.5:3) using 20 mm HBG metal including cost and conveyance of all the materials,but excluding the cost of the steel etc complete for Roof Slab with150 mm Thick</v>
      </c>
      <c r="C86" s="2093"/>
      <c r="D86" s="2093"/>
      <c r="E86" s="2093"/>
      <c r="F86" s="155"/>
      <c r="G86" s="155"/>
      <c r="H86" s="155"/>
      <c r="I86" s="155"/>
    </row>
    <row r="87" spans="1:15" x14ac:dyDescent="0.2">
      <c r="A87" s="155"/>
      <c r="B87" s="155"/>
      <c r="C87" s="155"/>
      <c r="D87" s="451">
        <v>1</v>
      </c>
      <c r="E87" s="155">
        <f>+F6</f>
        <v>5.0599999999999996</v>
      </c>
      <c r="F87" s="149">
        <f>+C8</f>
        <v>7.06</v>
      </c>
      <c r="G87" s="155">
        <f>+F87*E87</f>
        <v>35.723599999999998</v>
      </c>
      <c r="H87" s="149">
        <f>Data!I148</f>
        <v>14870.9</v>
      </c>
      <c r="I87" s="151">
        <f>+ROUND(H87*G87*0.1,0)</f>
        <v>53124</v>
      </c>
    </row>
    <row r="88" spans="1:15" ht="39.75" customHeight="1" x14ac:dyDescent="0.2">
      <c r="A88" s="436">
        <v>12</v>
      </c>
      <c r="B88" s="2092" t="s">
        <v>362</v>
      </c>
      <c r="C88" s="2093"/>
      <c r="D88" s="2093"/>
      <c r="E88" s="2093"/>
      <c r="F88" s="155"/>
      <c r="G88" s="155"/>
      <c r="H88" s="155"/>
      <c r="I88" s="155"/>
      <c r="K88" s="448" t="s">
        <v>362</v>
      </c>
      <c r="L88" s="438"/>
      <c r="M88" s="438"/>
      <c r="N88" s="438"/>
      <c r="O88" s="438"/>
    </row>
    <row r="89" spans="1:15" x14ac:dyDescent="0.2">
      <c r="A89" s="155"/>
      <c r="B89" s="445" t="s">
        <v>374</v>
      </c>
      <c r="C89" s="155">
        <f>+D42</f>
        <v>20.92</v>
      </c>
      <c r="D89" s="155">
        <v>0.23</v>
      </c>
      <c r="E89" s="149">
        <f>+B15-J14</f>
        <v>3.37</v>
      </c>
      <c r="F89" s="155"/>
      <c r="G89" s="155">
        <f>+ROUND(E89*D89*C89,2)</f>
        <v>16.22</v>
      </c>
      <c r="H89" s="151"/>
      <c r="I89" s="155"/>
    </row>
    <row r="90" spans="1:15" x14ac:dyDescent="0.2">
      <c r="A90" s="155"/>
      <c r="B90" s="445" t="s">
        <v>298</v>
      </c>
      <c r="C90" s="155"/>
      <c r="D90" s="155"/>
      <c r="E90" s="149"/>
      <c r="F90" s="155"/>
      <c r="G90" s="155"/>
      <c r="H90" s="151"/>
      <c r="I90" s="155"/>
    </row>
    <row r="91" spans="1:15" x14ac:dyDescent="0.2">
      <c r="A91" s="401"/>
      <c r="B91" s="442" t="s">
        <v>300</v>
      </c>
      <c r="C91" s="451">
        <f>+J16</f>
        <v>4</v>
      </c>
      <c r="D91" s="155">
        <v>0.9</v>
      </c>
      <c r="E91" s="149">
        <v>1.2</v>
      </c>
      <c r="F91" s="155">
        <v>0.23</v>
      </c>
      <c r="G91" s="155">
        <f>+ROUND(F91*E91*D91*C91,2)</f>
        <v>0.99</v>
      </c>
      <c r="H91" s="151"/>
      <c r="I91" s="155"/>
    </row>
    <row r="92" spans="1:15" x14ac:dyDescent="0.2">
      <c r="A92" s="401"/>
      <c r="B92" s="442" t="s">
        <v>375</v>
      </c>
      <c r="C92" s="451">
        <v>1</v>
      </c>
      <c r="D92" s="155">
        <v>1.05</v>
      </c>
      <c r="E92" s="149">
        <v>2</v>
      </c>
      <c r="F92" s="155">
        <v>0.23</v>
      </c>
      <c r="G92" s="155">
        <f>+ROUND(F92*E92*D92*C92,2)</f>
        <v>0.48</v>
      </c>
      <c r="H92" s="151"/>
      <c r="I92" s="155"/>
    </row>
    <row r="93" spans="1:15" x14ac:dyDescent="0.2">
      <c r="A93" s="155"/>
      <c r="B93" s="442" t="s">
        <v>376</v>
      </c>
      <c r="C93" s="451">
        <f>+C92+C91</f>
        <v>5</v>
      </c>
      <c r="D93" s="155">
        <v>0.23</v>
      </c>
      <c r="E93" s="149">
        <v>0.3</v>
      </c>
      <c r="F93" s="155">
        <v>0.23</v>
      </c>
      <c r="G93" s="155">
        <f>+ROUND(F93*E93*D93*C93,2)</f>
        <v>0.08</v>
      </c>
      <c r="H93" s="151"/>
      <c r="I93" s="155"/>
    </row>
    <row r="94" spans="1:15" x14ac:dyDescent="0.2">
      <c r="A94" s="155"/>
      <c r="B94" s="442" t="s">
        <v>377</v>
      </c>
      <c r="C94" s="451">
        <f>+C93</f>
        <v>5</v>
      </c>
      <c r="D94" s="155">
        <f>+D91+D92</f>
        <v>1.9500000000000002</v>
      </c>
      <c r="E94" s="149">
        <v>0.1</v>
      </c>
      <c r="F94" s="155">
        <v>0.23</v>
      </c>
      <c r="G94" s="155">
        <f>+ROUND(F94*E94*D94*C94,2)</f>
        <v>0.22</v>
      </c>
      <c r="H94" s="151"/>
      <c r="I94" s="155"/>
    </row>
    <row r="95" spans="1:15" x14ac:dyDescent="0.2">
      <c r="A95" s="155"/>
      <c r="B95" s="442" t="s">
        <v>378</v>
      </c>
      <c r="C95" s="451">
        <v>4</v>
      </c>
      <c r="D95" s="155">
        <v>0.23</v>
      </c>
      <c r="E95" s="149">
        <v>0.9</v>
      </c>
      <c r="F95" s="155">
        <v>0.3</v>
      </c>
      <c r="G95" s="155">
        <f>+ROUND(F95*E95*D95*C95,2)</f>
        <v>0.25</v>
      </c>
      <c r="H95" s="151"/>
      <c r="I95" s="155"/>
    </row>
    <row r="96" spans="1:15" x14ac:dyDescent="0.2">
      <c r="A96" s="155"/>
      <c r="B96" s="155"/>
      <c r="C96" s="155"/>
      <c r="D96" s="155"/>
      <c r="E96" s="149"/>
      <c r="F96" s="446" t="s">
        <v>23</v>
      </c>
      <c r="G96" s="149">
        <f>+G89-G91-G92-G93-G94-G95</f>
        <v>14.199999999999998</v>
      </c>
      <c r="H96" s="149">
        <f>Data!I96</f>
        <v>5143.3999999999996</v>
      </c>
      <c r="I96" s="151">
        <f>+ROUND(H96*G96,0)</f>
        <v>73036</v>
      </c>
    </row>
    <row r="97" spans="1:14" ht="49.5" customHeight="1" x14ac:dyDescent="0.2">
      <c r="A97" s="436">
        <v>13</v>
      </c>
      <c r="B97" s="2092" t="s">
        <v>379</v>
      </c>
      <c r="C97" s="2093"/>
      <c r="D97" s="2093"/>
      <c r="E97" s="2093"/>
      <c r="F97" s="155"/>
      <c r="G97" s="155"/>
      <c r="H97" s="155"/>
      <c r="I97" s="151"/>
      <c r="K97" s="448"/>
      <c r="L97" s="438"/>
      <c r="M97" s="438"/>
      <c r="N97" s="438"/>
    </row>
    <row r="98" spans="1:14" x14ac:dyDescent="0.2">
      <c r="A98" s="401"/>
      <c r="B98" s="442" t="s">
        <v>380</v>
      </c>
      <c r="C98" s="442"/>
      <c r="D98" s="149">
        <f>+((C19+0.23+0.3)+(F18+0.23+0.3))*2</f>
        <v>22.12</v>
      </c>
      <c r="E98" s="149">
        <f>+E70</f>
        <v>0.6</v>
      </c>
      <c r="F98" s="155"/>
      <c r="G98" s="149">
        <f>+E98*D98</f>
        <v>13.272</v>
      </c>
      <c r="H98" s="149">
        <f>Data!I214</f>
        <v>719.9</v>
      </c>
      <c r="I98" s="151">
        <f>+ROUND(H98*G98*0.1,0)</f>
        <v>955</v>
      </c>
    </row>
    <row r="99" spans="1:14" ht="52.5" customHeight="1" x14ac:dyDescent="0.2">
      <c r="A99" s="436">
        <v>14</v>
      </c>
      <c r="B99" s="2094" t="s">
        <v>381</v>
      </c>
      <c r="C99" s="2093"/>
      <c r="D99" s="2093"/>
      <c r="E99" s="2093"/>
      <c r="F99" s="155"/>
      <c r="G99" s="155"/>
      <c r="H99" s="155"/>
      <c r="I99" s="155"/>
    </row>
    <row r="100" spans="1:14" x14ac:dyDescent="0.2">
      <c r="A100" s="155"/>
      <c r="B100" s="442" t="s">
        <v>382</v>
      </c>
      <c r="C100" s="155"/>
      <c r="D100" s="149">
        <f>+((C19+0.23+0.23)+(F18+0.23+0.23))*2</f>
        <v>21.840000000000003</v>
      </c>
      <c r="E100" s="149">
        <f>+B15</f>
        <v>3.6</v>
      </c>
      <c r="F100" s="149"/>
      <c r="G100" s="149">
        <f>+ROUND(E100*D100,2)</f>
        <v>78.62</v>
      </c>
      <c r="H100" s="149"/>
      <c r="I100" s="151"/>
    </row>
    <row r="101" spans="1:14" x14ac:dyDescent="0.2">
      <c r="A101" s="155"/>
      <c r="B101" s="442" t="s">
        <v>383</v>
      </c>
      <c r="C101" s="155"/>
      <c r="D101" s="149">
        <f>+((C19)+(F18))*2</f>
        <v>20</v>
      </c>
      <c r="E101" s="149">
        <f>+B15</f>
        <v>3.6</v>
      </c>
      <c r="F101" s="149"/>
      <c r="G101" s="149">
        <f>+ROUND(E101*D101,2)</f>
        <v>72</v>
      </c>
      <c r="H101" s="149"/>
      <c r="I101" s="151"/>
    </row>
    <row r="102" spans="1:14" x14ac:dyDescent="0.2">
      <c r="A102" s="155"/>
      <c r="B102" s="442" t="s">
        <v>384</v>
      </c>
      <c r="C102" s="155"/>
      <c r="D102" s="149">
        <f>+C19</f>
        <v>4</v>
      </c>
      <c r="E102" s="149">
        <f>+F18</f>
        <v>6</v>
      </c>
      <c r="F102" s="149"/>
      <c r="G102" s="149">
        <f>+ROUND(E102*D102,2)</f>
        <v>24</v>
      </c>
      <c r="H102" s="149"/>
      <c r="I102" s="151"/>
    </row>
    <row r="103" spans="1:14" x14ac:dyDescent="0.2">
      <c r="A103" s="155"/>
      <c r="B103" s="442" t="s">
        <v>298</v>
      </c>
      <c r="C103" s="155"/>
      <c r="D103" s="149"/>
      <c r="E103" s="149"/>
      <c r="F103" s="149"/>
      <c r="G103" s="149"/>
      <c r="H103" s="149"/>
      <c r="I103" s="151"/>
    </row>
    <row r="104" spans="1:14" x14ac:dyDescent="0.2">
      <c r="A104" s="155"/>
      <c r="B104" s="442" t="s">
        <v>375</v>
      </c>
      <c r="C104" s="444">
        <v>1</v>
      </c>
      <c r="D104" s="149">
        <v>1.05</v>
      </c>
      <c r="E104" s="149">
        <v>2</v>
      </c>
      <c r="F104" s="149"/>
      <c r="G104" s="149">
        <f>+ROUND(E104*D104,2)</f>
        <v>2.1</v>
      </c>
      <c r="H104" s="149"/>
      <c r="I104" s="151"/>
    </row>
    <row r="105" spans="1:14" x14ac:dyDescent="0.2">
      <c r="A105" s="401"/>
      <c r="B105" s="442" t="s">
        <v>300</v>
      </c>
      <c r="C105" s="444">
        <f>C91</f>
        <v>4</v>
      </c>
      <c r="D105" s="149">
        <v>0.9</v>
      </c>
      <c r="E105" s="149">
        <v>1.2</v>
      </c>
      <c r="F105" s="149"/>
      <c r="G105" s="149">
        <f>+ROUND(E105*D105,2)</f>
        <v>1.08</v>
      </c>
      <c r="H105" s="149"/>
      <c r="I105" s="151"/>
    </row>
    <row r="106" spans="1:14" x14ac:dyDescent="0.2">
      <c r="A106" s="155"/>
      <c r="B106" s="442" t="s">
        <v>385</v>
      </c>
      <c r="C106" s="444">
        <v>4</v>
      </c>
      <c r="D106" s="149">
        <v>0.3</v>
      </c>
      <c r="E106" s="149">
        <v>0.9</v>
      </c>
      <c r="F106" s="149"/>
      <c r="G106" s="149">
        <f>+ROUND(E106*D106,2)</f>
        <v>0.27</v>
      </c>
      <c r="H106" s="149"/>
      <c r="I106" s="151"/>
    </row>
    <row r="107" spans="1:14" x14ac:dyDescent="0.2">
      <c r="A107" s="155"/>
      <c r="B107" s="155"/>
      <c r="C107" s="444"/>
      <c r="D107" s="149"/>
      <c r="E107" s="149"/>
      <c r="F107" s="157" t="s">
        <v>23</v>
      </c>
      <c r="G107" s="149">
        <f>+G100+G101+G102-G104-G105-G106</f>
        <v>171.17</v>
      </c>
      <c r="H107" s="149">
        <f>Data!I342</f>
        <v>1220.0999999999999</v>
      </c>
      <c r="I107" s="151">
        <f>+ROUNDUP(H107*G107*0.1,0)</f>
        <v>20885</v>
      </c>
    </row>
    <row r="108" spans="1:14" ht="57" customHeight="1" x14ac:dyDescent="0.2">
      <c r="A108" s="436">
        <v>15</v>
      </c>
      <c r="B108" s="2094" t="s">
        <v>386</v>
      </c>
      <c r="C108" s="2093"/>
      <c r="D108" s="2093"/>
      <c r="E108" s="2093"/>
      <c r="F108" s="155"/>
      <c r="G108" s="155"/>
      <c r="H108" s="155"/>
      <c r="I108" s="155"/>
    </row>
    <row r="109" spans="1:14" x14ac:dyDescent="0.2">
      <c r="A109" s="155"/>
      <c r="B109" s="155"/>
      <c r="C109" s="444">
        <v>1</v>
      </c>
      <c r="D109" s="149">
        <f>+C8</f>
        <v>7.06</v>
      </c>
      <c r="E109" s="149">
        <f>+F6</f>
        <v>5.0599999999999996</v>
      </c>
      <c r="F109" s="149"/>
      <c r="G109" s="149">
        <f>+E109*D109</f>
        <v>35.723599999999998</v>
      </c>
      <c r="H109" s="447">
        <f>Data!H233</f>
        <v>1619.7</v>
      </c>
      <c r="I109" s="151">
        <f>+ROUNDUP(H109*G109*0.1,0)</f>
        <v>5787</v>
      </c>
    </row>
    <row r="110" spans="1:14" ht="68.25" customHeight="1" x14ac:dyDescent="0.2">
      <c r="A110" s="436">
        <v>17</v>
      </c>
      <c r="B110" s="2094" t="s">
        <v>387</v>
      </c>
      <c r="C110" s="2093"/>
      <c r="D110" s="2093"/>
      <c r="E110" s="2093"/>
      <c r="F110" s="155"/>
      <c r="G110" s="155"/>
      <c r="H110" s="155"/>
      <c r="I110" s="155"/>
      <c r="K110" s="448"/>
      <c r="L110" s="438"/>
      <c r="M110" s="438"/>
      <c r="N110" s="438"/>
    </row>
    <row r="111" spans="1:14" x14ac:dyDescent="0.2">
      <c r="A111" s="155"/>
      <c r="B111" s="401"/>
      <c r="C111" s="444">
        <v>1</v>
      </c>
      <c r="D111" s="149">
        <f>+C19</f>
        <v>4</v>
      </c>
      <c r="E111" s="149">
        <f>+F18</f>
        <v>6</v>
      </c>
      <c r="F111" s="444"/>
      <c r="G111" s="149">
        <f>+E111*D111</f>
        <v>24</v>
      </c>
      <c r="H111" s="149">
        <f>Data!I248</f>
        <v>6670.4</v>
      </c>
      <c r="I111" s="151">
        <f>+ROUNDUP(H111*G111*0.1,0)</f>
        <v>16009</v>
      </c>
    </row>
    <row r="112" spans="1:14" ht="51" customHeight="1" x14ac:dyDescent="0.2">
      <c r="A112" s="436">
        <v>18</v>
      </c>
      <c r="B112" s="2092" t="s">
        <v>388</v>
      </c>
      <c r="C112" s="2093"/>
      <c r="D112" s="2093"/>
      <c r="E112" s="2093"/>
      <c r="F112" s="155"/>
      <c r="G112" s="155"/>
      <c r="H112" s="155"/>
      <c r="I112" s="151"/>
      <c r="K112" s="448"/>
      <c r="L112" s="438"/>
      <c r="M112" s="438"/>
      <c r="N112" s="438"/>
    </row>
    <row r="113" spans="1:9" x14ac:dyDescent="0.2">
      <c r="A113" s="156"/>
      <c r="B113" s="442" t="s">
        <v>375</v>
      </c>
      <c r="C113" s="444">
        <v>1</v>
      </c>
      <c r="D113" s="149" t="s">
        <v>389</v>
      </c>
      <c r="E113" s="149">
        <v>1.05</v>
      </c>
      <c r="F113" s="444">
        <v>2</v>
      </c>
      <c r="G113" s="149">
        <f>+F113*E113*C113*D113</f>
        <v>4.7250000000000005</v>
      </c>
      <c r="H113" s="151"/>
      <c r="I113" s="444"/>
    </row>
    <row r="114" spans="1:9" x14ac:dyDescent="0.2">
      <c r="A114" s="156"/>
      <c r="B114" s="442" t="s">
        <v>300</v>
      </c>
      <c r="C114" s="444">
        <f>C91</f>
        <v>4</v>
      </c>
      <c r="D114" s="149" t="s">
        <v>390</v>
      </c>
      <c r="E114" s="149">
        <v>0.9</v>
      </c>
      <c r="F114" s="444">
        <v>1.2</v>
      </c>
      <c r="G114" s="149">
        <f>+F114*E114*C114*D114</f>
        <v>11.88</v>
      </c>
      <c r="H114" s="151"/>
      <c r="I114" s="444"/>
    </row>
    <row r="115" spans="1:9" x14ac:dyDescent="0.2">
      <c r="A115" s="155"/>
      <c r="B115" s="155"/>
      <c r="C115" s="444"/>
      <c r="D115" s="149"/>
      <c r="E115" s="149"/>
      <c r="F115" s="149" t="s">
        <v>23</v>
      </c>
      <c r="G115" s="149">
        <f>+G114+G113</f>
        <v>16.605</v>
      </c>
      <c r="H115" s="149">
        <f>Data!I288</f>
        <v>2209.6999999999998</v>
      </c>
      <c r="I115" s="151">
        <f>+ROUNDUP(H115*G115*0.1,0)</f>
        <v>3670</v>
      </c>
    </row>
    <row r="116" spans="1:9" ht="56.25" customHeight="1" x14ac:dyDescent="0.2">
      <c r="A116" s="436">
        <v>19</v>
      </c>
      <c r="B116" s="2094" t="s">
        <v>391</v>
      </c>
      <c r="C116" s="2093"/>
      <c r="D116" s="2093"/>
      <c r="E116" s="2093"/>
      <c r="F116" s="149"/>
      <c r="G116" s="149"/>
      <c r="H116" s="149"/>
      <c r="I116" s="151"/>
    </row>
    <row r="117" spans="1:9" x14ac:dyDescent="0.2">
      <c r="A117" s="436"/>
      <c r="B117" s="2110" t="s">
        <v>392</v>
      </c>
      <c r="C117" s="2110"/>
      <c r="D117" s="441"/>
      <c r="E117" s="441"/>
      <c r="F117" s="149"/>
      <c r="G117" s="149">
        <f>+G101+G102+G104+G105+G106</f>
        <v>99.449999999999989</v>
      </c>
      <c r="H117" s="149">
        <f>Data!I299</f>
        <v>346.6</v>
      </c>
      <c r="I117" s="151">
        <f>+ROUNDUP(H117*G117*0.1,0)</f>
        <v>3447</v>
      </c>
    </row>
    <row r="118" spans="1:9" ht="44.25" customHeight="1" x14ac:dyDescent="0.2">
      <c r="A118" s="436">
        <v>20</v>
      </c>
      <c r="B118" s="2094" t="s">
        <v>306</v>
      </c>
      <c r="C118" s="2093"/>
      <c r="D118" s="2093"/>
      <c r="E118" s="2093"/>
      <c r="F118" s="155"/>
      <c r="G118" s="155"/>
      <c r="H118" s="155"/>
      <c r="I118" s="151"/>
    </row>
    <row r="119" spans="1:9" x14ac:dyDescent="0.2">
      <c r="A119" s="155"/>
      <c r="B119" s="442" t="s">
        <v>393</v>
      </c>
      <c r="C119" s="155"/>
      <c r="D119" s="155"/>
      <c r="E119" s="155"/>
      <c r="F119" s="155"/>
      <c r="G119" s="149">
        <f>+G100-G104-G105-G106</f>
        <v>75.170000000000016</v>
      </c>
      <c r="H119" s="149">
        <f>Data!I315</f>
        <v>1202.7</v>
      </c>
      <c r="I119" s="151">
        <f>+ROUNDUP(H119*G119*0.1,0)</f>
        <v>9041</v>
      </c>
    </row>
    <row r="120" spans="1:9" ht="75" customHeight="1" x14ac:dyDescent="0.2">
      <c r="A120" s="436">
        <v>21</v>
      </c>
      <c r="B120" s="2092" t="s">
        <v>394</v>
      </c>
      <c r="C120" s="2093"/>
      <c r="D120" s="2093"/>
      <c r="E120" s="2093"/>
      <c r="F120" s="155"/>
      <c r="G120" s="155"/>
      <c r="H120" s="155"/>
      <c r="I120" s="155"/>
    </row>
    <row r="121" spans="1:9" x14ac:dyDescent="0.2">
      <c r="A121" s="155"/>
      <c r="B121" s="155"/>
      <c r="C121" s="155"/>
      <c r="D121" s="155"/>
      <c r="E121" s="155"/>
      <c r="F121" s="155"/>
      <c r="G121" s="450">
        <v>1</v>
      </c>
      <c r="H121" s="452">
        <v>4000</v>
      </c>
      <c r="I121" s="151">
        <f>+ROUNDUP(H121*G121,0)</f>
        <v>4000</v>
      </c>
    </row>
    <row r="122" spans="1:9" ht="87.75" customHeight="1" x14ac:dyDescent="0.2">
      <c r="A122" s="436">
        <v>22</v>
      </c>
      <c r="B122" s="2092" t="s">
        <v>395</v>
      </c>
      <c r="C122" s="2093"/>
      <c r="D122" s="2093"/>
      <c r="E122" s="2093"/>
      <c r="F122" s="155"/>
      <c r="G122" s="155"/>
      <c r="H122" s="155"/>
      <c r="I122" s="155"/>
    </row>
    <row r="123" spans="1:9" x14ac:dyDescent="0.2">
      <c r="A123" s="155"/>
      <c r="B123" s="401"/>
      <c r="C123" s="155"/>
      <c r="D123" s="155"/>
      <c r="E123" s="155"/>
      <c r="F123" s="155"/>
      <c r="G123" s="450">
        <v>4</v>
      </c>
      <c r="H123" s="452">
        <v>2000</v>
      </c>
      <c r="I123" s="151">
        <f>+ROUNDUP(H123*G123,0)</f>
        <v>8000</v>
      </c>
    </row>
    <row r="124" spans="1:9" ht="60.75" customHeight="1" x14ac:dyDescent="0.2">
      <c r="A124" s="436">
        <v>23</v>
      </c>
      <c r="B124" s="2092" t="s">
        <v>396</v>
      </c>
      <c r="C124" s="2093"/>
      <c r="D124" s="2093"/>
      <c r="E124" s="2093"/>
      <c r="F124" s="155"/>
      <c r="G124" s="155"/>
      <c r="H124" s="155"/>
      <c r="I124" s="155"/>
    </row>
    <row r="125" spans="1:9" x14ac:dyDescent="0.2">
      <c r="A125" s="155"/>
      <c r="B125" s="155"/>
      <c r="C125" s="155"/>
      <c r="D125" s="155"/>
      <c r="E125" s="155"/>
      <c r="F125" s="155"/>
      <c r="G125" s="444">
        <f>+G123</f>
        <v>4</v>
      </c>
      <c r="H125" s="453">
        <v>300</v>
      </c>
      <c r="I125" s="151">
        <f>+ROUNDUP(H125*G125,0)</f>
        <v>1200</v>
      </c>
    </row>
    <row r="126" spans="1:9" ht="55.5" customHeight="1" x14ac:dyDescent="0.2">
      <c r="A126" s="436">
        <v>24</v>
      </c>
      <c r="B126" s="2092" t="s">
        <v>156</v>
      </c>
      <c r="C126" s="2093"/>
      <c r="D126" s="2093"/>
      <c r="E126" s="2093"/>
      <c r="F126" s="155"/>
      <c r="G126" s="454">
        <f>+((INT(((G61+G63+G67+G81+(G85*0.6*(0.075+0.05))+G87*I8)*0.065)*20))*0.05)+0.05</f>
        <v>0.75000000000000011</v>
      </c>
      <c r="H126" s="149">
        <f>Data!H327</f>
        <v>60670.400000000001</v>
      </c>
      <c r="I126" s="151">
        <f>+ROUNDUP(H126*G126,0)</f>
        <v>45503</v>
      </c>
    </row>
    <row r="127" spans="1:9" x14ac:dyDescent="0.2">
      <c r="A127" s="401"/>
      <c r="B127" s="155"/>
      <c r="C127" s="155"/>
      <c r="D127" s="155"/>
      <c r="E127" s="155"/>
      <c r="F127" s="155"/>
    </row>
    <row r="128" spans="1:9" ht="15" x14ac:dyDescent="0.25">
      <c r="A128" s="436">
        <v>25</v>
      </c>
      <c r="B128" s="2092" t="s">
        <v>397</v>
      </c>
      <c r="C128" s="2093"/>
      <c r="D128" s="2093"/>
      <c r="E128" s="2093"/>
      <c r="F128" s="155"/>
      <c r="G128" s="155"/>
      <c r="H128" s="149"/>
      <c r="I128" s="152">
        <f>+I129-SUM(I42:I126)</f>
        <v>1471</v>
      </c>
    </row>
    <row r="129" spans="1:12" x14ac:dyDescent="0.2">
      <c r="A129" s="155"/>
      <c r="B129" s="155"/>
      <c r="C129" s="155"/>
      <c r="D129" s="155"/>
      <c r="E129" s="155"/>
      <c r="F129" s="155"/>
      <c r="G129" s="155"/>
      <c r="H129" s="189" t="s">
        <v>23</v>
      </c>
      <c r="I129" s="165">
        <f>ROUND(SUM(I45:I126)*0.00004,0)*25000+10000</f>
        <v>385000</v>
      </c>
      <c r="L129" s="233">
        <f>I129-I128</f>
        <v>383529</v>
      </c>
    </row>
    <row r="130" spans="1:12" x14ac:dyDescent="0.2">
      <c r="A130" s="155"/>
      <c r="B130" s="155"/>
      <c r="C130" s="155"/>
      <c r="D130" s="155"/>
      <c r="E130" s="155"/>
      <c r="F130" s="155"/>
      <c r="G130" s="155"/>
      <c r="H130" s="155"/>
      <c r="I130" s="151"/>
    </row>
    <row r="131" spans="1:12" x14ac:dyDescent="0.2">
      <c r="A131" s="155"/>
      <c r="B131" s="155"/>
      <c r="C131" s="155"/>
      <c r="D131" s="155"/>
      <c r="E131" s="155"/>
      <c r="F131" s="155"/>
      <c r="G131" s="155"/>
      <c r="H131" s="155"/>
      <c r="I131" s="151"/>
    </row>
    <row r="132" spans="1:12" x14ac:dyDescent="0.2">
      <c r="A132" s="401"/>
      <c r="B132" s="155"/>
      <c r="C132" s="155"/>
      <c r="D132" s="155"/>
      <c r="E132" s="155"/>
      <c r="F132" s="155"/>
      <c r="G132" s="155"/>
      <c r="H132" s="155"/>
      <c r="I132" s="151"/>
    </row>
    <row r="133" spans="1:12" x14ac:dyDescent="0.2">
      <c r="A133" s="401"/>
      <c r="B133" s="155"/>
      <c r="C133" s="155"/>
      <c r="D133" s="155"/>
      <c r="E133" s="155"/>
      <c r="F133" s="155"/>
      <c r="G133" s="155"/>
      <c r="H133" s="155"/>
      <c r="I133" s="151"/>
    </row>
    <row r="134" spans="1:12" s="367" customFormat="1" x14ac:dyDescent="0.2">
      <c r="B134" s="368"/>
      <c r="D134" s="369"/>
      <c r="G134" s="369"/>
      <c r="I134" s="370"/>
      <c r="J134" s="371"/>
    </row>
    <row r="135" spans="1:12" s="367" customFormat="1" x14ac:dyDescent="0.2">
      <c r="B135" s="368"/>
      <c r="D135" s="369"/>
      <c r="G135" s="369"/>
      <c r="I135" s="369"/>
      <c r="J135" s="371"/>
    </row>
    <row r="136" spans="1:12" s="367" customFormat="1" x14ac:dyDescent="0.2">
      <c r="B136" s="368"/>
      <c r="C136" s="369"/>
      <c r="D136" s="369"/>
      <c r="E136" s="372"/>
      <c r="F136" s="372"/>
      <c r="G136" s="372"/>
      <c r="H136" s="372"/>
      <c r="I136" s="373"/>
      <c r="J136" s="371"/>
    </row>
    <row r="137" spans="1:12" s="367" customFormat="1" x14ac:dyDescent="0.2">
      <c r="B137" s="368"/>
      <c r="C137" s="369"/>
      <c r="D137" s="369"/>
      <c r="E137" s="369"/>
      <c r="F137" s="369"/>
      <c r="G137" s="369"/>
      <c r="H137" s="369"/>
      <c r="I137" s="369"/>
      <c r="J137" s="371"/>
    </row>
    <row r="138" spans="1:12" s="367" customFormat="1" x14ac:dyDescent="0.2">
      <c r="B138" s="374"/>
      <c r="C138" s="369"/>
      <c r="D138" s="369"/>
      <c r="E138" s="372"/>
      <c r="F138" s="372"/>
      <c r="G138" s="368"/>
      <c r="H138" s="372"/>
      <c r="I138" s="369"/>
      <c r="J138" s="371"/>
    </row>
    <row r="139" spans="1:12" s="367" customFormat="1" x14ac:dyDescent="0.2">
      <c r="B139" s="368"/>
      <c r="C139" s="369"/>
      <c r="D139" s="369"/>
      <c r="E139" s="372"/>
      <c r="F139" s="372"/>
      <c r="G139" s="368"/>
      <c r="H139" s="372"/>
      <c r="I139" s="369"/>
      <c r="J139" s="371"/>
    </row>
    <row r="140" spans="1:12" x14ac:dyDescent="0.2">
      <c r="A140" s="155"/>
      <c r="B140" s="155"/>
      <c r="C140" s="155"/>
      <c r="D140" s="155"/>
      <c r="E140" s="155"/>
      <c r="F140" s="155"/>
      <c r="G140" s="155"/>
      <c r="H140" s="155"/>
      <c r="I140" s="155"/>
    </row>
    <row r="141" spans="1:12" x14ac:dyDescent="0.2">
      <c r="A141" s="155"/>
      <c r="B141" s="155"/>
      <c r="C141" s="155"/>
      <c r="D141" s="155"/>
      <c r="E141" s="155"/>
      <c r="F141" s="155"/>
      <c r="G141" s="155"/>
      <c r="H141" s="155"/>
      <c r="I141" s="155"/>
    </row>
    <row r="142" spans="1:12" x14ac:dyDescent="0.2">
      <c r="A142" s="155"/>
      <c r="B142" s="155"/>
      <c r="C142" s="155"/>
      <c r="D142" s="155"/>
      <c r="E142" s="155"/>
      <c r="F142" s="155"/>
      <c r="G142" s="155"/>
      <c r="H142" s="155"/>
      <c r="I142" s="155"/>
    </row>
    <row r="143" spans="1:12" x14ac:dyDescent="0.2">
      <c r="A143" s="155"/>
      <c r="B143" s="155"/>
      <c r="C143" s="155"/>
      <c r="D143" s="155"/>
      <c r="E143" s="155"/>
      <c r="F143" s="446"/>
      <c r="G143" s="149"/>
      <c r="H143" s="155"/>
      <c r="I143" s="155"/>
    </row>
    <row r="144" spans="1:12" x14ac:dyDescent="0.2">
      <c r="A144" s="155"/>
      <c r="B144" s="155"/>
      <c r="C144" s="155"/>
      <c r="D144" s="155"/>
      <c r="E144" s="155"/>
      <c r="F144" s="155"/>
      <c r="G144" s="155"/>
      <c r="H144" s="155"/>
      <c r="I144" s="155"/>
    </row>
    <row r="145" spans="1:9" x14ac:dyDescent="0.2">
      <c r="A145" s="401"/>
      <c r="B145" s="155"/>
      <c r="C145" s="155"/>
      <c r="D145" s="155"/>
      <c r="E145" s="155"/>
      <c r="F145" s="155"/>
      <c r="G145" s="155"/>
      <c r="H145" s="155"/>
      <c r="I145" s="155"/>
    </row>
    <row r="146" spans="1:9" x14ac:dyDescent="0.2">
      <c r="A146" s="401"/>
      <c r="B146" s="155"/>
      <c r="C146" s="155"/>
      <c r="D146" s="155"/>
      <c r="E146" s="155"/>
      <c r="F146" s="155"/>
      <c r="G146" s="155"/>
      <c r="H146" s="155"/>
      <c r="I146" s="155"/>
    </row>
    <row r="147" spans="1:9" x14ac:dyDescent="0.2">
      <c r="A147" s="401"/>
      <c r="B147" s="155"/>
      <c r="C147" s="155"/>
      <c r="D147" s="155"/>
      <c r="E147" s="155"/>
      <c r="F147" s="155"/>
      <c r="G147" s="155"/>
      <c r="H147" s="155"/>
      <c r="I147" s="155"/>
    </row>
    <row r="148" spans="1:9" x14ac:dyDescent="0.2">
      <c r="A148" s="155"/>
      <c r="B148" s="155"/>
      <c r="C148" s="155"/>
      <c r="D148" s="155"/>
      <c r="E148" s="155"/>
      <c r="F148" s="155"/>
      <c r="G148" s="155"/>
      <c r="H148" s="155"/>
      <c r="I148" s="155"/>
    </row>
    <row r="149" spans="1:9" x14ac:dyDescent="0.2">
      <c r="A149" s="401"/>
      <c r="B149" s="155"/>
      <c r="C149" s="155"/>
      <c r="D149" s="155"/>
      <c r="E149" s="155"/>
      <c r="F149" s="155"/>
      <c r="G149" s="155"/>
      <c r="H149" s="155"/>
      <c r="I149" s="155"/>
    </row>
    <row r="150" spans="1:9" x14ac:dyDescent="0.2">
      <c r="A150" s="401"/>
      <c r="B150" s="155"/>
      <c r="C150" s="155"/>
      <c r="D150" s="155"/>
      <c r="E150" s="155"/>
      <c r="F150" s="155"/>
      <c r="G150" s="155"/>
      <c r="H150" s="155"/>
      <c r="I150" s="155"/>
    </row>
    <row r="151" spans="1:9" x14ac:dyDescent="0.2">
      <c r="A151" s="401"/>
      <c r="B151" s="155"/>
      <c r="C151" s="155"/>
      <c r="D151" s="155"/>
      <c r="E151" s="155"/>
      <c r="F151" s="155"/>
      <c r="G151" s="155"/>
      <c r="H151" s="155"/>
      <c r="I151" s="155"/>
    </row>
    <row r="152" spans="1:9" x14ac:dyDescent="0.2">
      <c r="A152" s="155"/>
      <c r="B152" s="155"/>
      <c r="C152" s="155"/>
      <c r="D152" s="155"/>
      <c r="E152" s="155"/>
      <c r="F152" s="155"/>
      <c r="G152" s="155"/>
      <c r="H152" s="155"/>
      <c r="I152" s="155"/>
    </row>
    <row r="153" spans="1:9" x14ac:dyDescent="0.2">
      <c r="A153" s="155"/>
      <c r="B153" s="155"/>
      <c r="C153" s="155"/>
      <c r="D153" s="155"/>
      <c r="E153" s="155"/>
      <c r="F153" s="155"/>
      <c r="G153" s="155"/>
      <c r="H153" s="155"/>
      <c r="I153" s="155"/>
    </row>
    <row r="154" spans="1:9" x14ac:dyDescent="0.2">
      <c r="A154" s="155"/>
      <c r="B154" s="155"/>
      <c r="C154" s="155"/>
      <c r="D154" s="155"/>
      <c r="E154" s="155"/>
      <c r="F154" s="155"/>
      <c r="G154" s="155"/>
      <c r="H154" s="155"/>
      <c r="I154" s="155"/>
    </row>
    <row r="155" spans="1:9" x14ac:dyDescent="0.2">
      <c r="A155" s="155"/>
      <c r="B155" s="155"/>
      <c r="C155" s="155"/>
      <c r="D155" s="155"/>
      <c r="E155" s="155"/>
      <c r="F155" s="155"/>
      <c r="G155" s="155"/>
      <c r="H155" s="155"/>
      <c r="I155" s="155"/>
    </row>
    <row r="156" spans="1:9" x14ac:dyDescent="0.2">
      <c r="A156" s="401"/>
      <c r="B156" s="155"/>
      <c r="C156" s="155"/>
      <c r="D156" s="155"/>
      <c r="E156" s="155"/>
      <c r="F156" s="155"/>
      <c r="G156" s="155"/>
      <c r="H156" s="155"/>
      <c r="I156" s="155"/>
    </row>
    <row r="157" spans="1:9" x14ac:dyDescent="0.2">
      <c r="A157" s="155"/>
      <c r="B157" s="155"/>
      <c r="C157" s="155"/>
      <c r="D157" s="155"/>
      <c r="E157" s="155"/>
      <c r="F157" s="155"/>
      <c r="G157" s="155"/>
      <c r="H157" s="155"/>
      <c r="I157" s="155"/>
    </row>
    <row r="158" spans="1:9" x14ac:dyDescent="0.2">
      <c r="A158" s="401"/>
      <c r="B158" s="155"/>
      <c r="C158" s="155"/>
      <c r="D158" s="155"/>
      <c r="E158" s="155"/>
      <c r="F158" s="155"/>
      <c r="G158" s="155"/>
      <c r="H158" s="155"/>
      <c r="I158" s="155"/>
    </row>
    <row r="159" spans="1:9" x14ac:dyDescent="0.2">
      <c r="A159" s="401"/>
      <c r="B159" s="155"/>
      <c r="C159" s="155"/>
      <c r="D159" s="155"/>
      <c r="E159" s="155"/>
      <c r="F159" s="155"/>
      <c r="G159" s="155"/>
      <c r="H159" s="155"/>
      <c r="I159" s="155"/>
    </row>
    <row r="160" spans="1:9" x14ac:dyDescent="0.2">
      <c r="A160" s="155"/>
      <c r="B160" s="155"/>
      <c r="C160" s="155"/>
      <c r="D160" s="155"/>
      <c r="E160" s="155"/>
      <c r="F160" s="155"/>
      <c r="G160" s="155"/>
      <c r="H160" s="155"/>
      <c r="I160" s="155"/>
    </row>
    <row r="161" spans="1:9" x14ac:dyDescent="0.2">
      <c r="A161" s="155"/>
      <c r="B161" s="155"/>
      <c r="C161" s="155"/>
      <c r="D161" s="155"/>
      <c r="E161" s="155"/>
      <c r="F161" s="155"/>
      <c r="G161" s="155"/>
      <c r="H161" s="155"/>
      <c r="I161" s="155"/>
    </row>
    <row r="162" spans="1:9" x14ac:dyDescent="0.2">
      <c r="A162" s="155"/>
      <c r="B162" s="155"/>
      <c r="C162" s="155"/>
      <c r="D162" s="155"/>
      <c r="E162" s="155"/>
      <c r="F162" s="155"/>
      <c r="G162" s="155"/>
      <c r="H162" s="155"/>
      <c r="I162" s="155"/>
    </row>
    <row r="163" spans="1:9" x14ac:dyDescent="0.2">
      <c r="A163" s="155"/>
      <c r="B163" s="155"/>
      <c r="C163" s="155"/>
      <c r="D163" s="155"/>
      <c r="E163" s="155"/>
      <c r="F163" s="155"/>
      <c r="G163" s="155"/>
      <c r="H163" s="155"/>
      <c r="I163" s="155"/>
    </row>
    <row r="164" spans="1:9" x14ac:dyDescent="0.2">
      <c r="A164" s="401"/>
      <c r="B164" s="155"/>
      <c r="C164" s="155"/>
      <c r="D164" s="155"/>
      <c r="E164" s="155"/>
      <c r="F164" s="155"/>
      <c r="G164" s="155"/>
      <c r="H164" s="155"/>
      <c r="I164" s="155"/>
    </row>
    <row r="165" spans="1:9" x14ac:dyDescent="0.2">
      <c r="A165" s="401"/>
      <c r="B165" s="155"/>
      <c r="C165" s="155"/>
      <c r="D165" s="155"/>
      <c r="E165" s="155"/>
      <c r="F165" s="155"/>
      <c r="G165" s="155"/>
      <c r="H165" s="155"/>
      <c r="I165" s="155"/>
    </row>
    <row r="166" spans="1:9" x14ac:dyDescent="0.2">
      <c r="A166" s="401"/>
      <c r="B166" s="155"/>
      <c r="C166" s="155"/>
      <c r="D166" s="155"/>
      <c r="E166" s="155"/>
      <c r="F166" s="155"/>
      <c r="G166" s="155"/>
      <c r="H166" s="155"/>
      <c r="I166" s="155"/>
    </row>
    <row r="167" spans="1:9" x14ac:dyDescent="0.2">
      <c r="A167" s="155"/>
      <c r="B167" s="155"/>
      <c r="C167" s="155"/>
      <c r="D167" s="155"/>
      <c r="E167" s="155"/>
      <c r="F167" s="155"/>
      <c r="G167" s="155"/>
      <c r="H167" s="155"/>
      <c r="I167" s="155"/>
    </row>
    <row r="168" spans="1:9" x14ac:dyDescent="0.2">
      <c r="A168" s="155"/>
      <c r="B168" s="155"/>
      <c r="C168" s="155"/>
      <c r="D168" s="155"/>
      <c r="E168" s="155"/>
      <c r="F168" s="155"/>
      <c r="G168" s="155"/>
      <c r="H168" s="155"/>
      <c r="I168" s="155"/>
    </row>
    <row r="169" spans="1:9" x14ac:dyDescent="0.2">
      <c r="A169" s="155"/>
      <c r="B169" s="155"/>
      <c r="C169" s="155"/>
      <c r="D169" s="155"/>
      <c r="E169" s="155"/>
      <c r="F169" s="155"/>
      <c r="G169" s="155"/>
      <c r="H169" s="155"/>
      <c r="I169" s="155"/>
    </row>
    <row r="170" spans="1:9" x14ac:dyDescent="0.2">
      <c r="A170" s="155"/>
      <c r="B170" s="155"/>
      <c r="C170" s="155"/>
      <c r="D170" s="155"/>
      <c r="E170" s="155"/>
      <c r="F170" s="155"/>
      <c r="G170" s="155"/>
      <c r="H170" s="155"/>
      <c r="I170" s="155"/>
    </row>
    <row r="171" spans="1:9" x14ac:dyDescent="0.2">
      <c r="A171" s="401"/>
      <c r="B171" s="155"/>
      <c r="C171" s="155"/>
      <c r="D171" s="155"/>
      <c r="E171" s="155"/>
      <c r="F171" s="155"/>
      <c r="G171" s="155"/>
      <c r="H171" s="155"/>
      <c r="I171" s="155"/>
    </row>
    <row r="172" spans="1:9" x14ac:dyDescent="0.2">
      <c r="A172" s="155"/>
      <c r="B172" s="155"/>
      <c r="C172" s="155"/>
      <c r="D172" s="155"/>
      <c r="E172" s="155"/>
      <c r="F172" s="155"/>
      <c r="G172" s="155"/>
      <c r="H172" s="155"/>
      <c r="I172" s="155"/>
    </row>
    <row r="173" spans="1:9" x14ac:dyDescent="0.2">
      <c r="A173" s="401"/>
      <c r="B173" s="155"/>
      <c r="C173" s="155"/>
      <c r="D173" s="155"/>
      <c r="E173" s="155"/>
      <c r="F173" s="155"/>
      <c r="G173" s="155"/>
      <c r="H173" s="155"/>
      <c r="I173" s="155"/>
    </row>
    <row r="174" spans="1:9" x14ac:dyDescent="0.2">
      <c r="A174" s="401"/>
      <c r="B174" s="155"/>
      <c r="C174" s="155"/>
      <c r="D174" s="155"/>
      <c r="E174" s="155"/>
      <c r="F174" s="155"/>
      <c r="G174" s="155"/>
      <c r="H174" s="155"/>
      <c r="I174" s="155"/>
    </row>
    <row r="175" spans="1:9" x14ac:dyDescent="0.2">
      <c r="A175" s="401"/>
      <c r="B175" s="155"/>
      <c r="C175" s="155"/>
      <c r="D175" s="155"/>
      <c r="E175" s="155"/>
      <c r="F175" s="155"/>
      <c r="G175" s="155"/>
      <c r="H175" s="155"/>
      <c r="I175" s="155"/>
    </row>
    <row r="176" spans="1:9" x14ac:dyDescent="0.2">
      <c r="A176" s="401"/>
      <c r="B176" s="155"/>
      <c r="C176" s="155"/>
      <c r="D176" s="155"/>
      <c r="E176" s="155"/>
      <c r="F176" s="155"/>
      <c r="G176" s="155"/>
      <c r="H176" s="155"/>
      <c r="I176" s="155"/>
    </row>
    <row r="177" spans="1:10" x14ac:dyDescent="0.2">
      <c r="A177" s="401"/>
      <c r="B177" s="155"/>
      <c r="C177" s="155"/>
      <c r="D177" s="155"/>
      <c r="E177" s="155"/>
      <c r="F177" s="155"/>
      <c r="G177" s="155"/>
      <c r="H177" s="149"/>
      <c r="I177" s="155"/>
    </row>
    <row r="178" spans="1:10" x14ac:dyDescent="0.2">
      <c r="A178" s="401"/>
      <c r="B178" s="155"/>
      <c r="C178" s="155"/>
      <c r="D178" s="155"/>
      <c r="E178" s="155"/>
      <c r="F178" s="155"/>
      <c r="G178" s="155"/>
      <c r="H178" s="155"/>
      <c r="I178" s="155"/>
    </row>
    <row r="179" spans="1:10" x14ac:dyDescent="0.2">
      <c r="A179" s="401"/>
      <c r="B179" s="155"/>
      <c r="C179" s="155"/>
      <c r="D179" s="155"/>
      <c r="E179" s="155"/>
      <c r="F179" s="155"/>
      <c r="G179" s="155"/>
      <c r="H179" s="149"/>
      <c r="I179" s="155"/>
    </row>
    <row r="180" spans="1:10" x14ac:dyDescent="0.2">
      <c r="A180" s="401"/>
      <c r="B180" s="155"/>
      <c r="C180" s="155"/>
      <c r="D180" s="155"/>
      <c r="E180" s="155"/>
      <c r="F180" s="155"/>
      <c r="G180" s="155"/>
      <c r="H180" s="155"/>
      <c r="I180" s="155"/>
    </row>
    <row r="181" spans="1:10" x14ac:dyDescent="0.2">
      <c r="A181" s="401"/>
      <c r="B181" s="155"/>
      <c r="C181" s="155"/>
      <c r="D181" s="155"/>
      <c r="E181" s="155"/>
      <c r="F181" s="155"/>
      <c r="G181" s="155"/>
      <c r="H181" s="155"/>
      <c r="I181" s="155"/>
    </row>
    <row r="182" spans="1:10" x14ac:dyDescent="0.2">
      <c r="A182" s="156" t="s">
        <v>398</v>
      </c>
      <c r="B182" s="155"/>
      <c r="C182" s="155"/>
      <c r="D182" s="155"/>
      <c r="E182" s="155"/>
      <c r="F182" s="155"/>
      <c r="G182" s="149"/>
      <c r="H182" s="155"/>
      <c r="I182" s="155"/>
      <c r="J182" s="233"/>
    </row>
    <row r="183" spans="1:10" x14ac:dyDescent="0.2">
      <c r="A183" s="155"/>
      <c r="B183" s="155"/>
      <c r="C183" s="155"/>
      <c r="D183" s="155"/>
      <c r="E183" s="155"/>
      <c r="F183" s="155"/>
      <c r="G183" s="155"/>
      <c r="H183" s="155"/>
      <c r="I183" s="155"/>
      <c r="J183" s="233"/>
    </row>
    <row r="184" spans="1:10" x14ac:dyDescent="0.2">
      <c r="A184" s="155"/>
      <c r="B184" s="155"/>
      <c r="C184" s="155"/>
      <c r="D184" s="155"/>
      <c r="E184" s="155"/>
      <c r="F184" s="155"/>
      <c r="G184" s="155"/>
      <c r="H184" s="155"/>
      <c r="I184" s="155"/>
    </row>
    <row r="185" spans="1:10" x14ac:dyDescent="0.2">
      <c r="A185" s="155"/>
      <c r="B185" s="155"/>
      <c r="C185" s="155"/>
      <c r="D185" s="155"/>
      <c r="E185" s="155"/>
      <c r="F185" s="155"/>
      <c r="G185" s="155"/>
      <c r="H185" s="155"/>
      <c r="I185" s="155"/>
    </row>
    <row r="186" spans="1:10" x14ac:dyDescent="0.2">
      <c r="A186" s="155"/>
      <c r="B186" s="155"/>
      <c r="C186" s="155"/>
      <c r="D186" s="155"/>
      <c r="E186" s="155"/>
      <c r="F186" s="155"/>
      <c r="G186" s="155"/>
      <c r="H186" s="155"/>
      <c r="I186" s="155"/>
    </row>
    <row r="187" spans="1:10" x14ac:dyDescent="0.2">
      <c r="A187" s="155"/>
      <c r="B187" s="155"/>
      <c r="C187" s="155"/>
      <c r="D187" s="155"/>
      <c r="E187" s="155"/>
      <c r="F187" s="155"/>
      <c r="G187" s="155"/>
      <c r="H187" s="155"/>
      <c r="I187" s="155"/>
    </row>
    <row r="188" spans="1:10" x14ac:dyDescent="0.2">
      <c r="A188" s="155"/>
      <c r="B188" s="155"/>
      <c r="C188" s="155"/>
      <c r="D188" s="155"/>
      <c r="E188" s="155"/>
      <c r="F188" s="155"/>
      <c r="G188" s="155"/>
      <c r="H188" s="155"/>
      <c r="I188" s="155"/>
    </row>
    <row r="189" spans="1:10" x14ac:dyDescent="0.2">
      <c r="A189" s="155"/>
      <c r="B189" s="155"/>
      <c r="C189" s="155"/>
      <c r="D189" s="155"/>
      <c r="E189" s="155"/>
      <c r="F189" s="155"/>
      <c r="G189" s="155"/>
      <c r="H189" s="155"/>
      <c r="I189" s="155"/>
    </row>
    <row r="190" spans="1:10" x14ac:dyDescent="0.2">
      <c r="A190" s="155"/>
      <c r="B190" s="155"/>
      <c r="C190" s="155"/>
      <c r="D190" s="155"/>
      <c r="E190" s="155"/>
      <c r="F190" s="155"/>
      <c r="G190" s="155"/>
      <c r="H190" s="155"/>
      <c r="I190" s="155"/>
    </row>
    <row r="191" spans="1:10" x14ac:dyDescent="0.2">
      <c r="A191" s="155"/>
      <c r="B191" s="155"/>
      <c r="C191" s="155"/>
      <c r="D191" s="155"/>
      <c r="E191" s="155"/>
      <c r="F191" s="155"/>
      <c r="G191" s="155"/>
      <c r="H191" s="155"/>
      <c r="I191" s="155"/>
    </row>
    <row r="192" spans="1:10" x14ac:dyDescent="0.2">
      <c r="A192" s="155"/>
      <c r="B192" s="155"/>
      <c r="C192" s="155"/>
      <c r="D192" s="155"/>
      <c r="E192" s="155"/>
      <c r="F192" s="155"/>
      <c r="G192" s="155"/>
      <c r="H192" s="155"/>
      <c r="I192" s="155"/>
    </row>
    <row r="193" spans="1:9" x14ac:dyDescent="0.2">
      <c r="A193" s="155"/>
      <c r="B193" s="155"/>
      <c r="C193" s="155"/>
      <c r="D193" s="155"/>
      <c r="E193" s="155"/>
      <c r="F193" s="155"/>
      <c r="G193" s="155"/>
      <c r="H193" s="155"/>
      <c r="I193" s="155"/>
    </row>
    <row r="194" spans="1:9" x14ac:dyDescent="0.2">
      <c r="A194" s="155"/>
      <c r="B194" s="155"/>
      <c r="C194" s="155"/>
      <c r="D194" s="155"/>
      <c r="E194" s="155"/>
      <c r="F194" s="155"/>
      <c r="G194" s="155"/>
      <c r="H194" s="155"/>
      <c r="I194" s="155"/>
    </row>
    <row r="195" spans="1:9" x14ac:dyDescent="0.2">
      <c r="A195" s="155"/>
      <c r="B195" s="155"/>
      <c r="C195" s="155"/>
      <c r="D195" s="155"/>
      <c r="E195" s="155"/>
      <c r="F195" s="155"/>
      <c r="G195" s="155"/>
      <c r="H195" s="155"/>
      <c r="I195" s="155"/>
    </row>
    <row r="196" spans="1:9" x14ac:dyDescent="0.2">
      <c r="A196" s="155"/>
      <c r="B196" s="155"/>
      <c r="C196" s="155"/>
      <c r="D196" s="155"/>
      <c r="E196" s="155"/>
      <c r="F196" s="155"/>
      <c r="G196" s="155"/>
      <c r="H196" s="155"/>
      <c r="I196" s="155"/>
    </row>
    <row r="197" spans="1:9" x14ac:dyDescent="0.2">
      <c r="A197" s="155"/>
      <c r="B197" s="155"/>
      <c r="C197" s="155"/>
      <c r="D197" s="155"/>
      <c r="E197" s="155"/>
      <c r="F197" s="155"/>
      <c r="G197" s="155"/>
      <c r="H197" s="155"/>
      <c r="I197" s="155"/>
    </row>
    <row r="198" spans="1:9" x14ac:dyDescent="0.2">
      <c r="A198" s="155"/>
      <c r="B198" s="155"/>
      <c r="C198" s="155"/>
      <c r="D198" s="155"/>
      <c r="E198" s="155"/>
      <c r="F198" s="155"/>
      <c r="G198" s="155"/>
      <c r="H198" s="155"/>
      <c r="I198" s="155"/>
    </row>
    <row r="199" spans="1:9" x14ac:dyDescent="0.2">
      <c r="A199" s="155"/>
      <c r="B199" s="155"/>
      <c r="C199" s="155"/>
      <c r="D199" s="155"/>
      <c r="E199" s="155"/>
      <c r="F199" s="155"/>
      <c r="G199" s="155"/>
      <c r="H199" s="155"/>
      <c r="I199" s="155"/>
    </row>
    <row r="200" spans="1:9" x14ac:dyDescent="0.2">
      <c r="A200" s="155"/>
      <c r="B200" s="155"/>
      <c r="C200" s="155"/>
      <c r="D200" s="155"/>
      <c r="E200" s="155"/>
      <c r="F200" s="155"/>
      <c r="G200" s="155"/>
      <c r="H200" s="155"/>
      <c r="I200" s="155"/>
    </row>
    <row r="201" spans="1:9" x14ac:dyDescent="0.2">
      <c r="A201" s="155"/>
      <c r="B201" s="155"/>
      <c r="C201" s="155"/>
      <c r="D201" s="155"/>
      <c r="E201" s="155"/>
      <c r="F201" s="155"/>
      <c r="G201" s="155"/>
      <c r="H201" s="155"/>
      <c r="I201" s="155"/>
    </row>
    <row r="202" spans="1:9" x14ac:dyDescent="0.2">
      <c r="A202" s="155"/>
      <c r="B202" s="155"/>
      <c r="C202" s="155"/>
      <c r="D202" s="155"/>
      <c r="E202" s="155"/>
      <c r="F202" s="155"/>
      <c r="G202" s="155"/>
      <c r="H202" s="155"/>
      <c r="I202" s="155"/>
    </row>
    <row r="203" spans="1:9" x14ac:dyDescent="0.2">
      <c r="A203" s="155"/>
      <c r="B203" s="155"/>
      <c r="C203" s="155"/>
      <c r="D203" s="155"/>
      <c r="E203" s="155"/>
      <c r="F203" s="155"/>
      <c r="G203" s="155"/>
      <c r="H203" s="155"/>
      <c r="I203" s="155"/>
    </row>
    <row r="204" spans="1:9" x14ac:dyDescent="0.2">
      <c r="A204" s="155"/>
      <c r="B204" s="155"/>
      <c r="C204" s="155"/>
      <c r="D204" s="155"/>
      <c r="E204" s="155"/>
      <c r="F204" s="155"/>
      <c r="G204" s="155"/>
      <c r="H204" s="155"/>
      <c r="I204" s="155"/>
    </row>
    <row r="205" spans="1:9" x14ac:dyDescent="0.2">
      <c r="A205" s="155"/>
      <c r="B205" s="155"/>
      <c r="C205" s="155"/>
      <c r="D205" s="155"/>
      <c r="E205" s="155"/>
      <c r="F205" s="155"/>
      <c r="G205" s="155"/>
      <c r="H205" s="155"/>
      <c r="I205" s="155"/>
    </row>
    <row r="206" spans="1:9" x14ac:dyDescent="0.2">
      <c r="A206" s="155"/>
      <c r="B206" s="155"/>
      <c r="C206" s="155"/>
      <c r="D206" s="155"/>
      <c r="E206" s="155"/>
      <c r="F206" s="155"/>
      <c r="G206" s="155"/>
      <c r="H206" s="155"/>
      <c r="I206" s="155"/>
    </row>
    <row r="207" spans="1:9" x14ac:dyDescent="0.2">
      <c r="A207" s="155"/>
      <c r="B207" s="155"/>
      <c r="C207" s="155"/>
      <c r="D207" s="155"/>
      <c r="E207" s="155"/>
      <c r="F207" s="155"/>
      <c r="G207" s="155"/>
      <c r="H207" s="155"/>
      <c r="I207" s="155"/>
    </row>
    <row r="208" spans="1:9" x14ac:dyDescent="0.2">
      <c r="A208" s="155"/>
      <c r="B208" s="155"/>
      <c r="C208" s="155"/>
      <c r="D208" s="155"/>
      <c r="E208" s="155"/>
      <c r="F208" s="155"/>
      <c r="G208" s="155"/>
      <c r="H208" s="155"/>
      <c r="I208" s="155"/>
    </row>
    <row r="209" spans="1:9" x14ac:dyDescent="0.2">
      <c r="A209" s="155"/>
      <c r="B209" s="155"/>
      <c r="C209" s="155"/>
      <c r="D209" s="155"/>
      <c r="E209" s="155"/>
      <c r="F209" s="155"/>
      <c r="G209" s="155"/>
      <c r="H209" s="155"/>
      <c r="I209" s="155"/>
    </row>
    <row r="210" spans="1:9" x14ac:dyDescent="0.2">
      <c r="A210" s="155"/>
      <c r="B210" s="155"/>
      <c r="C210" s="155"/>
      <c r="D210" s="155"/>
      <c r="E210" s="155"/>
      <c r="F210" s="155"/>
      <c r="G210" s="155"/>
      <c r="H210" s="155"/>
      <c r="I210" s="155"/>
    </row>
  </sheetData>
  <mergeCells count="29">
    <mergeCell ref="B74:E74"/>
    <mergeCell ref="A34:F34"/>
    <mergeCell ref="A35:C35"/>
    <mergeCell ref="D35:F35"/>
    <mergeCell ref="B37:G37"/>
    <mergeCell ref="B41:F41"/>
    <mergeCell ref="B47:E47"/>
    <mergeCell ref="B52:E52"/>
    <mergeCell ref="B58:E58"/>
    <mergeCell ref="B62:E62"/>
    <mergeCell ref="B64:E64"/>
    <mergeCell ref="B68:E68"/>
    <mergeCell ref="B118:E118"/>
    <mergeCell ref="B78:E78"/>
    <mergeCell ref="B82:E82"/>
    <mergeCell ref="B86:E86"/>
    <mergeCell ref="B88:E88"/>
    <mergeCell ref="B97:E97"/>
    <mergeCell ref="B99:E99"/>
    <mergeCell ref="B108:E108"/>
    <mergeCell ref="B110:E110"/>
    <mergeCell ref="B112:E112"/>
    <mergeCell ref="B116:E116"/>
    <mergeCell ref="B117:C117"/>
    <mergeCell ref="B120:E120"/>
    <mergeCell ref="B122:E122"/>
    <mergeCell ref="B124:E124"/>
    <mergeCell ref="B126:E126"/>
    <mergeCell ref="B128:E12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
  <sheetViews>
    <sheetView topLeftCell="A61" workbookViewId="0">
      <selection activeCell="H66" sqref="H66"/>
    </sheetView>
  </sheetViews>
  <sheetFormatPr defaultRowHeight="15" x14ac:dyDescent="0.25"/>
  <cols>
    <col min="4" max="4" width="9.140625" style="120"/>
    <col min="9" max="9" width="12" customWidth="1"/>
  </cols>
  <sheetData>
    <row r="1" spans="1:9" x14ac:dyDescent="0.25">
      <c r="B1" s="2008" t="str">
        <f>Design!B1</f>
        <v>CPWS SCHEME TO                                                                                                       DISTRICT</v>
      </c>
      <c r="C1" s="2008"/>
      <c r="D1" s="2008"/>
      <c r="E1" s="2008"/>
      <c r="F1" s="2008"/>
      <c r="G1" s="2008"/>
      <c r="H1" s="2008"/>
      <c r="I1" s="2008"/>
    </row>
    <row r="2" spans="1:9" x14ac:dyDescent="0.25">
      <c r="A2" s="2008" t="s">
        <v>337</v>
      </c>
      <c r="B2" s="2008"/>
      <c r="C2" s="2008"/>
      <c r="D2" s="2008"/>
      <c r="E2" s="2008"/>
      <c r="F2" s="2008"/>
      <c r="G2" s="2008"/>
      <c r="H2" s="2008"/>
      <c r="I2" s="2008"/>
    </row>
    <row r="3" spans="1:9" x14ac:dyDescent="0.25">
      <c r="A3" s="2131" t="s">
        <v>508</v>
      </c>
      <c r="B3" s="2131"/>
      <c r="C3" s="2131"/>
      <c r="D3" s="2131"/>
      <c r="E3" s="2131"/>
      <c r="F3" s="2131"/>
      <c r="G3" s="2131"/>
      <c r="H3" s="2131"/>
      <c r="I3" s="2131"/>
    </row>
    <row r="4" spans="1:9" x14ac:dyDescent="0.25">
      <c r="A4" s="141"/>
      <c r="B4" s="2132" t="str">
        <f>Design!B1</f>
        <v>CPWS SCHEME TO                                                                                                       DISTRICT</v>
      </c>
      <c r="C4" s="2132"/>
      <c r="D4" s="2132"/>
      <c r="E4" s="2132"/>
      <c r="F4" s="2132"/>
      <c r="G4" s="492" t="s">
        <v>136</v>
      </c>
      <c r="H4" s="493">
        <f>I138/100000</f>
        <v>8.25</v>
      </c>
      <c r="I4" s="97" t="s">
        <v>509</v>
      </c>
    </row>
    <row r="5" spans="1:9" x14ac:dyDescent="0.25">
      <c r="A5" s="2133" t="s">
        <v>510</v>
      </c>
      <c r="B5" s="2133" t="s">
        <v>284</v>
      </c>
      <c r="C5" s="2134" t="s">
        <v>511</v>
      </c>
      <c r="D5" s="2133"/>
      <c r="E5" s="2133"/>
      <c r="F5" s="2133"/>
      <c r="G5" s="2133" t="s">
        <v>512</v>
      </c>
      <c r="H5" s="2134" t="s">
        <v>140</v>
      </c>
      <c r="I5" s="2134" t="s">
        <v>141</v>
      </c>
    </row>
    <row r="6" spans="1:9" x14ac:dyDescent="0.25">
      <c r="A6" s="2133"/>
      <c r="B6" s="2133"/>
      <c r="C6" s="494" t="s">
        <v>513</v>
      </c>
      <c r="D6" s="494" t="s">
        <v>342</v>
      </c>
      <c r="E6" s="494" t="s">
        <v>343</v>
      </c>
      <c r="F6" s="494" t="s">
        <v>344</v>
      </c>
      <c r="G6" s="2134"/>
      <c r="H6" s="2134"/>
      <c r="I6" s="2134"/>
    </row>
    <row r="7" spans="1:9" ht="31.5" customHeight="1" x14ac:dyDescent="0.25">
      <c r="A7" s="495">
        <v>1</v>
      </c>
      <c r="B7" s="2094" t="s">
        <v>142</v>
      </c>
      <c r="C7" s="2093"/>
      <c r="D7" s="2093"/>
      <c r="E7" s="2093"/>
      <c r="F7" s="496"/>
      <c r="G7" s="496"/>
      <c r="H7" s="90"/>
      <c r="I7" s="90"/>
    </row>
    <row r="8" spans="1:9" x14ac:dyDescent="0.25">
      <c r="A8" s="495"/>
      <c r="B8" s="497" t="s">
        <v>514</v>
      </c>
      <c r="C8" s="443">
        <v>12</v>
      </c>
      <c r="D8" s="155">
        <v>1.2</v>
      </c>
      <c r="E8" s="155">
        <v>1.2</v>
      </c>
      <c r="F8" s="149">
        <v>1.5</v>
      </c>
      <c r="G8" s="149">
        <f>ROUND(C8*D8*E8*F8,2)</f>
        <v>25.92</v>
      </c>
      <c r="H8" s="155"/>
      <c r="I8" s="155"/>
    </row>
    <row r="9" spans="1:9" x14ac:dyDescent="0.25">
      <c r="A9" s="495"/>
      <c r="B9" s="497" t="s">
        <v>515</v>
      </c>
      <c r="C9" s="443">
        <v>1</v>
      </c>
      <c r="D9" s="155">
        <f>2*(3.165+3.7+2.665+3.165+3.165)</f>
        <v>31.72</v>
      </c>
      <c r="E9" s="155">
        <v>0.9</v>
      </c>
      <c r="F9" s="149">
        <v>0.6</v>
      </c>
      <c r="G9" s="149">
        <f>ROUND(C9*D9*E9*F9,2)</f>
        <v>17.13</v>
      </c>
      <c r="H9" s="155"/>
      <c r="I9" s="155"/>
    </row>
    <row r="10" spans="1:9" x14ac:dyDescent="0.25">
      <c r="A10" s="495"/>
      <c r="B10" s="497" t="s">
        <v>516</v>
      </c>
      <c r="C10" s="443">
        <v>1</v>
      </c>
      <c r="D10" s="155">
        <f>3.165+3.7+2.665</f>
        <v>9.5300000000000011</v>
      </c>
      <c r="E10" s="155">
        <v>0.9</v>
      </c>
      <c r="F10" s="149">
        <v>0.6</v>
      </c>
      <c r="G10" s="149">
        <f>ROUND(C10*D10*E10*F10,2)</f>
        <v>5.15</v>
      </c>
      <c r="H10" s="155"/>
      <c r="I10" s="155"/>
    </row>
    <row r="11" spans="1:9" x14ac:dyDescent="0.25">
      <c r="A11" s="495"/>
      <c r="B11" s="497" t="s">
        <v>517</v>
      </c>
      <c r="C11" s="443">
        <v>4</v>
      </c>
      <c r="D11" s="155">
        <v>2.27</v>
      </c>
      <c r="E11" s="155">
        <v>0.9</v>
      </c>
      <c r="F11" s="149">
        <v>0.6</v>
      </c>
      <c r="G11" s="149">
        <f>ROUND(C11*D11*E11*F11,2)</f>
        <v>4.9000000000000004</v>
      </c>
      <c r="H11" s="155"/>
      <c r="I11" s="155"/>
    </row>
    <row r="12" spans="1:9" x14ac:dyDescent="0.25">
      <c r="A12" s="495"/>
      <c r="B12" s="497" t="s">
        <v>518</v>
      </c>
      <c r="C12" s="443">
        <v>1</v>
      </c>
      <c r="D12" s="155">
        <v>7</v>
      </c>
      <c r="E12" s="155">
        <v>0.6</v>
      </c>
      <c r="F12" s="149">
        <v>0.6</v>
      </c>
      <c r="G12" s="149">
        <f>ROUND(C12*D12*E12*F12,2)</f>
        <v>2.52</v>
      </c>
      <c r="H12" s="155"/>
      <c r="I12" s="155"/>
    </row>
    <row r="13" spans="1:9" x14ac:dyDescent="0.25">
      <c r="A13" s="495"/>
      <c r="B13" s="497" t="s">
        <v>519</v>
      </c>
      <c r="C13" s="443">
        <v>12</v>
      </c>
      <c r="D13" s="155">
        <v>1.2</v>
      </c>
      <c r="E13" s="155">
        <v>1.2</v>
      </c>
      <c r="F13" s="149">
        <v>0.6</v>
      </c>
      <c r="G13" s="149">
        <f>-ROUND(C13*D13*E13*F13,2)</f>
        <v>-10.37</v>
      </c>
      <c r="H13" s="155"/>
      <c r="I13" s="155"/>
    </row>
    <row r="14" spans="1:9" x14ac:dyDescent="0.25">
      <c r="A14" s="498"/>
      <c r="B14" s="499"/>
      <c r="C14" s="443"/>
      <c r="D14" s="155"/>
      <c r="E14" s="155"/>
      <c r="F14" s="157" t="s">
        <v>23</v>
      </c>
      <c r="G14" s="149">
        <f>SUM(G8:G13)</f>
        <v>45.25</v>
      </c>
      <c r="H14" s="447">
        <f>Data!I12</f>
        <v>158.80000000000001</v>
      </c>
      <c r="I14" s="155">
        <f>+ROUND((G14*H14),0)</f>
        <v>7186</v>
      </c>
    </row>
    <row r="15" spans="1:9" ht="40.5" customHeight="1" x14ac:dyDescent="0.25">
      <c r="A15" s="146">
        <v>2</v>
      </c>
      <c r="B15" s="2094" t="s">
        <v>145</v>
      </c>
      <c r="C15" s="2093"/>
      <c r="D15" s="2093"/>
      <c r="E15" s="2093"/>
      <c r="F15" s="496"/>
      <c r="G15" s="90"/>
      <c r="H15" s="83"/>
      <c r="I15" s="150"/>
    </row>
    <row r="16" spans="1:9" x14ac:dyDescent="0.25">
      <c r="A16" s="500"/>
      <c r="B16" s="497" t="s">
        <v>514</v>
      </c>
      <c r="C16" s="443">
        <v>12</v>
      </c>
      <c r="D16" s="155">
        <v>1.2</v>
      </c>
      <c r="E16" s="155">
        <v>1.2</v>
      </c>
      <c r="F16" s="149">
        <v>0.2</v>
      </c>
      <c r="G16" s="149">
        <f>ROUND(C16*D16*E16*F16,2)</f>
        <v>3.46</v>
      </c>
      <c r="H16" s="443"/>
      <c r="I16" s="155"/>
    </row>
    <row r="17" spans="1:9" x14ac:dyDescent="0.25">
      <c r="A17" s="500"/>
      <c r="B17" s="497" t="s">
        <v>515</v>
      </c>
      <c r="C17" s="443">
        <v>1</v>
      </c>
      <c r="D17" s="155">
        <f>2*(3.165+3.7+2.665+3.165+3.165)</f>
        <v>31.72</v>
      </c>
      <c r="E17" s="155">
        <v>0.9</v>
      </c>
      <c r="F17" s="149">
        <v>0.2</v>
      </c>
      <c r="G17" s="149">
        <f>ROUND(C17*D17*E17*F17,2)</f>
        <v>5.71</v>
      </c>
      <c r="H17" s="443"/>
      <c r="I17" s="155"/>
    </row>
    <row r="18" spans="1:9" x14ac:dyDescent="0.25">
      <c r="A18" s="500"/>
      <c r="B18" s="497" t="s">
        <v>516</v>
      </c>
      <c r="C18" s="443">
        <v>1</v>
      </c>
      <c r="D18" s="155">
        <v>9.5299999999999994</v>
      </c>
      <c r="E18" s="155">
        <v>0.9</v>
      </c>
      <c r="F18" s="149">
        <v>0.2</v>
      </c>
      <c r="G18" s="149">
        <f>ROUND(C18*D18*E18*F18,2)</f>
        <v>1.72</v>
      </c>
      <c r="H18" s="443"/>
      <c r="I18" s="155"/>
    </row>
    <row r="19" spans="1:9" x14ac:dyDescent="0.25">
      <c r="A19" s="500"/>
      <c r="B19" s="497" t="s">
        <v>517</v>
      </c>
      <c r="C19" s="443">
        <v>4</v>
      </c>
      <c r="D19" s="155">
        <v>2.27</v>
      </c>
      <c r="E19" s="155">
        <v>0.9</v>
      </c>
      <c r="F19" s="149">
        <v>0.2</v>
      </c>
      <c r="G19" s="149">
        <f>ROUND(C19*D19*E19*F19,2)</f>
        <v>1.63</v>
      </c>
      <c r="H19" s="443"/>
      <c r="I19" s="155"/>
    </row>
    <row r="20" spans="1:9" x14ac:dyDescent="0.25">
      <c r="A20" s="500"/>
      <c r="B20" s="497" t="s">
        <v>518</v>
      </c>
      <c r="C20" s="443">
        <v>1</v>
      </c>
      <c r="D20" s="155">
        <v>7</v>
      </c>
      <c r="E20" s="155">
        <v>0.6</v>
      </c>
      <c r="F20" s="149">
        <v>0.2</v>
      </c>
      <c r="G20" s="149">
        <f>ROUND(C20*D20*E20*F20,2)</f>
        <v>0.84</v>
      </c>
      <c r="H20" s="443"/>
      <c r="I20" s="155"/>
    </row>
    <row r="21" spans="1:9" x14ac:dyDescent="0.25">
      <c r="A21" s="500"/>
      <c r="B21" s="497" t="s">
        <v>519</v>
      </c>
      <c r="C21" s="443">
        <v>12</v>
      </c>
      <c r="D21" s="155">
        <v>1.2</v>
      </c>
      <c r="E21" s="155">
        <v>1.2</v>
      </c>
      <c r="F21" s="149">
        <v>0.2</v>
      </c>
      <c r="G21" s="149">
        <f>-ROUND(C21*D21*E21*F21,2)</f>
        <v>-3.46</v>
      </c>
      <c r="H21" s="443"/>
      <c r="I21" s="155"/>
    </row>
    <row r="22" spans="1:9" x14ac:dyDescent="0.25">
      <c r="A22" s="500"/>
      <c r="B22" s="501"/>
      <c r="C22" s="443"/>
      <c r="D22" s="155"/>
      <c r="E22" s="155"/>
      <c r="F22" s="157" t="s">
        <v>23</v>
      </c>
      <c r="G22" s="149">
        <f>SUM(G16:G21)</f>
        <v>9.8999999999999986</v>
      </c>
      <c r="H22" s="447">
        <f>Data!I30</f>
        <v>937.7</v>
      </c>
      <c r="I22" s="155">
        <f>+ROUND((H22*G22),0)</f>
        <v>9283</v>
      </c>
    </row>
    <row r="23" spans="1:9" ht="42.75" customHeight="1" x14ac:dyDescent="0.25">
      <c r="A23" s="146">
        <v>3</v>
      </c>
      <c r="B23" s="2094" t="s">
        <v>144</v>
      </c>
      <c r="C23" s="2093"/>
      <c r="D23" s="2093"/>
      <c r="E23" s="2093"/>
      <c r="F23" s="90"/>
      <c r="G23" s="90"/>
      <c r="H23" s="83"/>
      <c r="I23" s="150"/>
    </row>
    <row r="24" spans="1:9" x14ac:dyDescent="0.25">
      <c r="A24" s="342"/>
      <c r="B24" s="497" t="s">
        <v>514</v>
      </c>
      <c r="C24" s="443">
        <v>12</v>
      </c>
      <c r="D24" s="155">
        <v>1.2</v>
      </c>
      <c r="E24" s="155">
        <v>1.2</v>
      </c>
      <c r="F24" s="149">
        <v>0.3</v>
      </c>
      <c r="G24" s="149">
        <f>ROUND(C24*D24*E24*F24,2)</f>
        <v>5.18</v>
      </c>
      <c r="H24" s="443"/>
      <c r="I24" s="155"/>
    </row>
    <row r="25" spans="1:9" x14ac:dyDescent="0.25">
      <c r="A25" s="342"/>
      <c r="B25" s="497" t="s">
        <v>515</v>
      </c>
      <c r="C25" s="443">
        <v>1</v>
      </c>
      <c r="D25" s="155">
        <f>2*(3.165+3.7+2.665+3.165+3.165)</f>
        <v>31.72</v>
      </c>
      <c r="E25" s="155">
        <v>0.9</v>
      </c>
      <c r="F25" s="149">
        <v>0.3</v>
      </c>
      <c r="G25" s="149">
        <f>ROUND(C25*D25*E25*F25,2)</f>
        <v>8.56</v>
      </c>
      <c r="H25" s="443"/>
      <c r="I25" s="155"/>
    </row>
    <row r="26" spans="1:9" x14ac:dyDescent="0.25">
      <c r="A26" s="342"/>
      <c r="B26" s="497" t="s">
        <v>516</v>
      </c>
      <c r="C26" s="443">
        <v>1</v>
      </c>
      <c r="D26" s="155">
        <v>9.5299999999999994</v>
      </c>
      <c r="E26" s="155">
        <v>0.9</v>
      </c>
      <c r="F26" s="149">
        <v>0.3</v>
      </c>
      <c r="G26" s="149">
        <f>ROUND(C26*D26*E26*F26,2)</f>
        <v>2.57</v>
      </c>
      <c r="H26" s="443"/>
      <c r="I26" s="155"/>
    </row>
    <row r="27" spans="1:9" x14ac:dyDescent="0.25">
      <c r="A27" s="342"/>
      <c r="B27" s="497" t="s">
        <v>517</v>
      </c>
      <c r="C27" s="443">
        <v>4</v>
      </c>
      <c r="D27" s="155">
        <v>2.27</v>
      </c>
      <c r="E27" s="155">
        <v>0.9</v>
      </c>
      <c r="F27" s="149">
        <v>0.3</v>
      </c>
      <c r="G27" s="149">
        <f>ROUND(C27*D27*E27*F27,2)</f>
        <v>2.4500000000000002</v>
      </c>
      <c r="H27" s="443"/>
      <c r="I27" s="155"/>
    </row>
    <row r="28" spans="1:9" x14ac:dyDescent="0.25">
      <c r="A28" s="342"/>
      <c r="B28" s="497" t="s">
        <v>518</v>
      </c>
      <c r="C28" s="443">
        <v>1</v>
      </c>
      <c r="D28" s="155">
        <v>7</v>
      </c>
      <c r="E28" s="155">
        <v>0.6</v>
      </c>
      <c r="F28" s="149">
        <v>0.15</v>
      </c>
      <c r="G28" s="149">
        <f>ROUND(C28*D28*E28*F28,2)</f>
        <v>0.63</v>
      </c>
      <c r="H28" s="443"/>
      <c r="I28" s="155"/>
    </row>
    <row r="29" spans="1:9" x14ac:dyDescent="0.25">
      <c r="A29" s="342"/>
      <c r="B29" s="497" t="s">
        <v>519</v>
      </c>
      <c r="C29" s="443">
        <v>12</v>
      </c>
      <c r="D29" s="155">
        <v>1.2</v>
      </c>
      <c r="E29" s="155">
        <v>1.2</v>
      </c>
      <c r="F29" s="149">
        <v>0.3</v>
      </c>
      <c r="G29" s="149">
        <f>-ROUND(C29*D29*E29*F29,2)</f>
        <v>-5.18</v>
      </c>
      <c r="H29" s="443"/>
      <c r="I29" s="155"/>
    </row>
    <row r="30" spans="1:9" x14ac:dyDescent="0.25">
      <c r="A30" s="342"/>
      <c r="B30" s="501"/>
      <c r="C30" s="443"/>
      <c r="D30" s="155"/>
      <c r="E30" s="155"/>
      <c r="F30" s="157"/>
      <c r="G30" s="149">
        <f>SUM(G24:G29)</f>
        <v>14.209999999999997</v>
      </c>
      <c r="H30" s="447">
        <f>Data!I44</f>
        <v>4470.5</v>
      </c>
      <c r="I30" s="155">
        <f>+ROUND((H30*G30),0)</f>
        <v>63526</v>
      </c>
    </row>
    <row r="31" spans="1:9" ht="48.75" customHeight="1" x14ac:dyDescent="0.25">
      <c r="A31" s="146">
        <v>4</v>
      </c>
      <c r="B31" s="2092" t="s">
        <v>520</v>
      </c>
      <c r="C31" s="2093"/>
      <c r="D31" s="2093"/>
      <c r="E31" s="2093"/>
      <c r="F31" s="90"/>
      <c r="G31" s="400"/>
      <c r="H31" s="90"/>
      <c r="I31" s="150"/>
    </row>
    <row r="32" spans="1:9" x14ac:dyDescent="0.25">
      <c r="A32" s="342"/>
      <c r="B32" s="497" t="s">
        <v>521</v>
      </c>
      <c r="C32" s="449">
        <v>1</v>
      </c>
      <c r="D32" s="155">
        <v>28.96</v>
      </c>
      <c r="E32" s="155">
        <v>0.6</v>
      </c>
      <c r="F32" s="149">
        <v>0.6</v>
      </c>
      <c r="G32" s="149">
        <f>ROUND(C32*D32*E32*F32,2)</f>
        <v>10.43</v>
      </c>
      <c r="H32" s="443"/>
      <c r="I32" s="155"/>
    </row>
    <row r="33" spans="1:9" x14ac:dyDescent="0.25">
      <c r="A33" s="342"/>
      <c r="B33" s="497" t="s">
        <v>522</v>
      </c>
      <c r="C33" s="449">
        <v>1</v>
      </c>
      <c r="D33" s="155">
        <v>28.96</v>
      </c>
      <c r="E33" s="155">
        <v>0.45</v>
      </c>
      <c r="F33" s="149">
        <v>0.45</v>
      </c>
      <c r="G33" s="149">
        <f>ROUND(C33*D33*E33*F33,2)</f>
        <v>5.86</v>
      </c>
      <c r="H33" s="443"/>
      <c r="I33" s="155"/>
    </row>
    <row r="34" spans="1:9" x14ac:dyDescent="0.25">
      <c r="A34" s="342"/>
      <c r="B34" s="497" t="s">
        <v>523</v>
      </c>
      <c r="C34" s="449">
        <v>1</v>
      </c>
      <c r="D34" s="155">
        <v>28.96</v>
      </c>
      <c r="E34" s="155">
        <v>0.3</v>
      </c>
      <c r="F34" s="149">
        <v>0.3</v>
      </c>
      <c r="G34" s="149">
        <f>ROUND(C34*D34*E34*F34,2)</f>
        <v>2.61</v>
      </c>
      <c r="H34" s="443"/>
      <c r="I34" s="155"/>
    </row>
    <row r="35" spans="1:9" x14ac:dyDescent="0.25">
      <c r="A35" s="342"/>
      <c r="B35" s="497" t="s">
        <v>524</v>
      </c>
      <c r="C35" s="449">
        <v>1</v>
      </c>
      <c r="D35" s="155">
        <v>8.84</v>
      </c>
      <c r="E35" s="155">
        <v>0.6</v>
      </c>
      <c r="F35" s="149">
        <v>0.6</v>
      </c>
      <c r="G35" s="149">
        <f t="shared" ref="G35:G40" si="0">ROUND(C35*D35*E35*F35,2)</f>
        <v>3.18</v>
      </c>
      <c r="H35" s="443"/>
      <c r="I35" s="155"/>
    </row>
    <row r="36" spans="1:9" x14ac:dyDescent="0.25">
      <c r="A36" s="342"/>
      <c r="B36" s="497" t="s">
        <v>525</v>
      </c>
      <c r="C36" s="449">
        <v>1</v>
      </c>
      <c r="D36" s="155">
        <v>8.84</v>
      </c>
      <c r="E36" s="155">
        <v>0.45</v>
      </c>
      <c r="F36" s="149">
        <v>0.45</v>
      </c>
      <c r="G36" s="149">
        <f t="shared" si="0"/>
        <v>1.79</v>
      </c>
      <c r="H36" s="443"/>
      <c r="I36" s="155"/>
    </row>
    <row r="37" spans="1:9" x14ac:dyDescent="0.25">
      <c r="A37" s="342"/>
      <c r="B37" s="497" t="s">
        <v>526</v>
      </c>
      <c r="C37" s="449">
        <v>1</v>
      </c>
      <c r="D37" s="155">
        <v>8.84</v>
      </c>
      <c r="E37" s="155">
        <v>0.3</v>
      </c>
      <c r="F37" s="149">
        <v>0.3</v>
      </c>
      <c r="G37" s="149">
        <f t="shared" si="0"/>
        <v>0.8</v>
      </c>
      <c r="H37" s="443"/>
      <c r="I37" s="155"/>
    </row>
    <row r="38" spans="1:9" x14ac:dyDescent="0.25">
      <c r="A38" s="342"/>
      <c r="B38" s="497" t="s">
        <v>527</v>
      </c>
      <c r="C38" s="449">
        <v>4</v>
      </c>
      <c r="D38" s="155">
        <v>2.04</v>
      </c>
      <c r="E38" s="155">
        <v>0.6</v>
      </c>
      <c r="F38" s="157">
        <v>0.6</v>
      </c>
      <c r="G38" s="149">
        <f t="shared" si="0"/>
        <v>2.94</v>
      </c>
      <c r="H38" s="443"/>
      <c r="I38" s="155"/>
    </row>
    <row r="39" spans="1:9" x14ac:dyDescent="0.25">
      <c r="A39" s="342"/>
      <c r="B39" s="497" t="s">
        <v>528</v>
      </c>
      <c r="C39" s="449">
        <v>4</v>
      </c>
      <c r="D39" s="155">
        <v>2.04</v>
      </c>
      <c r="E39" s="155">
        <v>0.45</v>
      </c>
      <c r="F39" s="149">
        <v>0.45</v>
      </c>
      <c r="G39" s="149">
        <f t="shared" si="0"/>
        <v>1.65</v>
      </c>
      <c r="H39" s="443"/>
      <c r="I39" s="155"/>
    </row>
    <row r="40" spans="1:9" x14ac:dyDescent="0.25">
      <c r="A40" s="342"/>
      <c r="B40" s="497" t="s">
        <v>529</v>
      </c>
      <c r="C40" s="449">
        <v>4</v>
      </c>
      <c r="D40" s="155">
        <v>2.04</v>
      </c>
      <c r="E40" s="155">
        <v>0.3</v>
      </c>
      <c r="F40" s="149">
        <v>0.3</v>
      </c>
      <c r="G40" s="149">
        <f t="shared" si="0"/>
        <v>0.73</v>
      </c>
      <c r="H40" s="443"/>
      <c r="I40" s="155"/>
    </row>
    <row r="41" spans="1:9" x14ac:dyDescent="0.25">
      <c r="A41" s="342"/>
      <c r="B41" s="497" t="s">
        <v>518</v>
      </c>
      <c r="C41" s="449">
        <v>7</v>
      </c>
      <c r="D41" s="155">
        <v>0.6</v>
      </c>
      <c r="E41" s="155">
        <v>0.6</v>
      </c>
      <c r="F41" s="149">
        <v>0.45</v>
      </c>
      <c r="G41" s="149">
        <f>ROUND(C41*D41*E41*F41,2)</f>
        <v>1.1299999999999999</v>
      </c>
      <c r="H41" s="443"/>
      <c r="I41" s="155"/>
    </row>
    <row r="42" spans="1:9" x14ac:dyDescent="0.25">
      <c r="A42" s="342"/>
      <c r="B42" s="497" t="s">
        <v>518</v>
      </c>
      <c r="C42" s="449">
        <v>7</v>
      </c>
      <c r="D42" s="155">
        <v>0.3</v>
      </c>
      <c r="E42" s="155">
        <v>0.45</v>
      </c>
      <c r="F42" s="149">
        <v>0.3</v>
      </c>
      <c r="G42" s="149">
        <f>ROUND(C42*D42*E42*F42,2)</f>
        <v>0.28000000000000003</v>
      </c>
      <c r="H42" s="443"/>
      <c r="I42" s="155"/>
    </row>
    <row r="43" spans="1:9" x14ac:dyDescent="0.25">
      <c r="A43" s="375"/>
      <c r="B43" s="442"/>
      <c r="C43" s="443"/>
      <c r="D43" s="155"/>
      <c r="E43" s="155"/>
      <c r="F43" s="149"/>
      <c r="G43" s="149">
        <f>SUM(G32:G42)</f>
        <v>31.4</v>
      </c>
      <c r="H43" s="447">
        <f>Data!I72</f>
        <v>3705.2</v>
      </c>
      <c r="I43" s="155">
        <f>+ROUND((H43*G43),0)</f>
        <v>116343</v>
      </c>
    </row>
    <row r="44" spans="1:9" ht="59.25" customHeight="1" x14ac:dyDescent="0.25">
      <c r="A44" s="146">
        <v>5</v>
      </c>
      <c r="B44" s="2092" t="s">
        <v>356</v>
      </c>
      <c r="C44" s="2093"/>
      <c r="D44" s="2093"/>
      <c r="E44" s="2093"/>
      <c r="F44" s="90"/>
      <c r="G44" s="400"/>
      <c r="H44" s="90"/>
      <c r="I44" s="150"/>
    </row>
    <row r="45" spans="1:9" x14ac:dyDescent="0.25">
      <c r="A45" s="375"/>
      <c r="B45" s="100"/>
      <c r="C45" s="375">
        <v>12</v>
      </c>
      <c r="D45" s="375">
        <v>0.43049999999999999</v>
      </c>
      <c r="E45" s="90"/>
      <c r="F45" s="90"/>
      <c r="G45" s="400">
        <f>+C45*D45</f>
        <v>5.1660000000000004</v>
      </c>
      <c r="H45" s="447">
        <f>Data!H161</f>
        <v>8644</v>
      </c>
      <c r="I45" s="152">
        <f>+ROUND((H45*G45),0)</f>
        <v>44655</v>
      </c>
    </row>
    <row r="46" spans="1:9" ht="65.25" customHeight="1" x14ac:dyDescent="0.25">
      <c r="A46" s="146">
        <v>6</v>
      </c>
      <c r="B46" s="2092" t="s">
        <v>370</v>
      </c>
      <c r="C46" s="2093"/>
      <c r="D46" s="2093"/>
      <c r="E46" s="2093"/>
      <c r="F46" s="150"/>
      <c r="G46" s="168"/>
      <c r="H46" s="150"/>
      <c r="I46" s="150"/>
    </row>
    <row r="47" spans="1:9" x14ac:dyDescent="0.25">
      <c r="A47" s="375"/>
      <c r="B47" s="497" t="s">
        <v>530</v>
      </c>
      <c r="C47" s="449">
        <v>2</v>
      </c>
      <c r="D47" s="155">
        <v>2.25</v>
      </c>
      <c r="E47" s="155">
        <v>0.23</v>
      </c>
      <c r="F47" s="149">
        <v>0.23</v>
      </c>
      <c r="G47" s="149">
        <f t="shared" ref="G47:G52" si="1">+ROUND((F47*E47*D47*C47),2)</f>
        <v>0.24</v>
      </c>
      <c r="H47" s="443"/>
      <c r="I47" s="155"/>
    </row>
    <row r="48" spans="1:9" x14ac:dyDescent="0.25">
      <c r="A48" s="375"/>
      <c r="B48" s="497" t="s">
        <v>531</v>
      </c>
      <c r="C48" s="449">
        <v>4</v>
      </c>
      <c r="D48" s="155">
        <v>2.1</v>
      </c>
      <c r="E48" s="155">
        <v>0.23</v>
      </c>
      <c r="F48" s="149">
        <v>0.23</v>
      </c>
      <c r="G48" s="149">
        <f t="shared" si="1"/>
        <v>0.44</v>
      </c>
      <c r="H48" s="443"/>
      <c r="I48" s="155"/>
    </row>
    <row r="49" spans="1:9" x14ac:dyDescent="0.25">
      <c r="A49" s="375"/>
      <c r="B49" s="497" t="s">
        <v>532</v>
      </c>
      <c r="C49" s="449">
        <v>2</v>
      </c>
      <c r="D49" s="155">
        <v>1.65</v>
      </c>
      <c r="E49" s="155">
        <v>0.23</v>
      </c>
      <c r="F49" s="149">
        <v>0.23</v>
      </c>
      <c r="G49" s="149">
        <f t="shared" si="1"/>
        <v>0.17</v>
      </c>
      <c r="H49" s="443"/>
      <c r="I49" s="155"/>
    </row>
    <row r="50" spans="1:9" x14ac:dyDescent="0.25">
      <c r="A50" s="375"/>
      <c r="B50" s="497" t="s">
        <v>533</v>
      </c>
      <c r="C50" s="449">
        <v>2</v>
      </c>
      <c r="D50" s="155">
        <v>2.1</v>
      </c>
      <c r="E50" s="155">
        <v>0.23</v>
      </c>
      <c r="F50" s="149">
        <v>0.23</v>
      </c>
      <c r="G50" s="149">
        <f t="shared" si="1"/>
        <v>0.22</v>
      </c>
      <c r="H50" s="443"/>
      <c r="I50" s="155"/>
    </row>
    <row r="51" spans="1:9" x14ac:dyDescent="0.25">
      <c r="A51" s="375"/>
      <c r="B51" s="497" t="s">
        <v>534</v>
      </c>
      <c r="C51" s="449">
        <v>2</v>
      </c>
      <c r="D51" s="155">
        <v>1.8</v>
      </c>
      <c r="E51" s="155">
        <v>0.23</v>
      </c>
      <c r="F51" s="149">
        <v>0.23</v>
      </c>
      <c r="G51" s="149">
        <f t="shared" si="1"/>
        <v>0.19</v>
      </c>
      <c r="H51" s="443"/>
      <c r="I51" s="155"/>
    </row>
    <row r="52" spans="1:9" x14ac:dyDescent="0.25">
      <c r="A52" s="375"/>
      <c r="B52" s="497" t="s">
        <v>535</v>
      </c>
      <c r="C52" s="449">
        <v>2</v>
      </c>
      <c r="D52" s="155">
        <v>1</v>
      </c>
      <c r="E52" s="155">
        <v>0.23</v>
      </c>
      <c r="F52" s="149">
        <v>0.23</v>
      </c>
      <c r="G52" s="149">
        <f t="shared" si="1"/>
        <v>0.11</v>
      </c>
      <c r="H52" s="443"/>
      <c r="I52" s="155"/>
    </row>
    <row r="53" spans="1:9" x14ac:dyDescent="0.25">
      <c r="A53" s="375"/>
      <c r="B53" s="90"/>
      <c r="C53" s="443"/>
      <c r="D53" s="155"/>
      <c r="E53" s="155"/>
      <c r="F53" s="149"/>
      <c r="G53" s="149">
        <f>SUM(G47:G52)</f>
        <v>1.37</v>
      </c>
      <c r="H53" s="447">
        <f>Data!H166</f>
        <v>10932.9</v>
      </c>
      <c r="I53" s="155">
        <f>+ROUND((H53*G53),0)</f>
        <v>14978</v>
      </c>
    </row>
    <row r="54" spans="1:9" ht="65.25" customHeight="1" x14ac:dyDescent="0.25">
      <c r="A54" s="146">
        <v>7</v>
      </c>
      <c r="B54" s="2092" t="s">
        <v>536</v>
      </c>
      <c r="C54" s="2093"/>
      <c r="D54" s="2093"/>
      <c r="E54" s="2093"/>
      <c r="F54" s="502"/>
      <c r="G54" s="503"/>
      <c r="H54" s="90"/>
      <c r="I54" s="150"/>
    </row>
    <row r="55" spans="1:9" x14ac:dyDescent="0.25">
      <c r="A55" s="375"/>
      <c r="B55" s="497" t="s">
        <v>537</v>
      </c>
      <c r="C55" s="449">
        <v>12</v>
      </c>
      <c r="D55" s="155">
        <v>0.23</v>
      </c>
      <c r="E55" s="155">
        <v>0.23</v>
      </c>
      <c r="F55" s="149">
        <v>5.03</v>
      </c>
      <c r="G55" s="149">
        <f>+ROUND((F55*E55*D55*C55),2)</f>
        <v>3.19</v>
      </c>
      <c r="H55" s="447">
        <f>Data!H162</f>
        <v>10571.4</v>
      </c>
      <c r="I55" s="155">
        <f>+ROUND((H55*G55),0)</f>
        <v>33723</v>
      </c>
    </row>
    <row r="56" spans="1:9" ht="74.25" customHeight="1" x14ac:dyDescent="0.25">
      <c r="A56" s="146">
        <v>8</v>
      </c>
      <c r="B56" s="2092" t="s">
        <v>359</v>
      </c>
      <c r="C56" s="2093"/>
      <c r="D56" s="2093"/>
      <c r="E56" s="2093"/>
      <c r="F56" s="149"/>
      <c r="G56" s="149"/>
      <c r="H56" s="449"/>
      <c r="I56" s="155"/>
    </row>
    <row r="57" spans="1:9" x14ac:dyDescent="0.25">
      <c r="A57" s="375"/>
      <c r="B57" s="497" t="s">
        <v>538</v>
      </c>
      <c r="C57" s="449">
        <v>1</v>
      </c>
      <c r="D57" s="155">
        <v>27.515000000000001</v>
      </c>
      <c r="E57" s="155">
        <v>0.23</v>
      </c>
      <c r="F57" s="149">
        <v>0.3</v>
      </c>
      <c r="G57" s="149">
        <f>+ROUND((F57*E57*D57*C57),2)</f>
        <v>1.9</v>
      </c>
      <c r="H57" s="449"/>
      <c r="I57" s="155"/>
    </row>
    <row r="58" spans="1:9" x14ac:dyDescent="0.25">
      <c r="A58" s="375"/>
      <c r="B58" s="497" t="s">
        <v>539</v>
      </c>
      <c r="C58" s="449">
        <v>1</v>
      </c>
      <c r="D58" s="155">
        <v>27.515000000000001</v>
      </c>
      <c r="E58" s="155">
        <v>0.23</v>
      </c>
      <c r="F58" s="149">
        <v>0.3</v>
      </c>
      <c r="G58" s="149">
        <f>+ROUND((F58*E58*D58*C58),2)</f>
        <v>1.9</v>
      </c>
      <c r="H58" s="449"/>
      <c r="I58" s="155"/>
    </row>
    <row r="59" spans="1:9" x14ac:dyDescent="0.25">
      <c r="A59" s="375"/>
      <c r="B59" s="90"/>
      <c r="C59" s="449"/>
      <c r="D59" s="155"/>
      <c r="E59" s="155"/>
      <c r="F59" s="149"/>
      <c r="G59" s="149">
        <f>SUM(G57:G58)</f>
        <v>3.8</v>
      </c>
      <c r="H59" s="447">
        <f>Data!H164</f>
        <v>10909.7</v>
      </c>
      <c r="I59" s="155">
        <f>+ROUND((H59*G59),0)</f>
        <v>41457</v>
      </c>
    </row>
    <row r="60" spans="1:9" ht="84" customHeight="1" x14ac:dyDescent="0.25">
      <c r="A60" s="146">
        <v>9</v>
      </c>
      <c r="B60" s="2092" t="s">
        <v>371</v>
      </c>
      <c r="C60" s="2092"/>
      <c r="D60" s="2092"/>
      <c r="E60" s="2092"/>
      <c r="F60" s="502"/>
      <c r="G60" s="503"/>
      <c r="H60" s="90"/>
      <c r="I60" s="150"/>
    </row>
    <row r="61" spans="1:9" ht="15.75" x14ac:dyDescent="0.3">
      <c r="A61" s="375"/>
      <c r="B61" s="497" t="s">
        <v>540</v>
      </c>
      <c r="C61" s="449">
        <v>2</v>
      </c>
      <c r="D61" s="155">
        <v>1.05</v>
      </c>
      <c r="E61" s="155">
        <v>0.6</v>
      </c>
      <c r="F61" s="504">
        <v>6.25E-2</v>
      </c>
      <c r="G61" s="149">
        <f>ROUND(C61*D61*E61*F61,2)</f>
        <v>0.08</v>
      </c>
      <c r="H61" s="449"/>
      <c r="I61" s="155"/>
    </row>
    <row r="62" spans="1:9" ht="15.75" x14ac:dyDescent="0.3">
      <c r="A62" s="375"/>
      <c r="B62" s="497" t="s">
        <v>541</v>
      </c>
      <c r="C62" s="449">
        <v>2</v>
      </c>
      <c r="D62" s="155">
        <v>1.2</v>
      </c>
      <c r="E62" s="155">
        <v>0.6</v>
      </c>
      <c r="F62" s="504">
        <v>6.25E-2</v>
      </c>
      <c r="G62" s="149">
        <f>ROUND(C62*D62*E62*F62,2)</f>
        <v>0.09</v>
      </c>
      <c r="H62" s="449"/>
      <c r="I62" s="155"/>
    </row>
    <row r="63" spans="1:9" ht="15.75" x14ac:dyDescent="0.3">
      <c r="A63" s="375"/>
      <c r="B63" s="497" t="s">
        <v>542</v>
      </c>
      <c r="C63" s="449">
        <v>2</v>
      </c>
      <c r="D63" s="155">
        <v>0.9</v>
      </c>
      <c r="E63" s="155">
        <v>0.6</v>
      </c>
      <c r="F63" s="504">
        <v>6.25E-2</v>
      </c>
      <c r="G63" s="149">
        <f>ROUND(C63*D63*E63*F63,2)</f>
        <v>7.0000000000000007E-2</v>
      </c>
      <c r="H63" s="449"/>
      <c r="I63" s="155"/>
    </row>
    <row r="64" spans="1:9" x14ac:dyDescent="0.25">
      <c r="A64" s="375"/>
      <c r="B64" s="90"/>
      <c r="C64" s="449"/>
      <c r="D64" s="155"/>
      <c r="E64" s="155"/>
      <c r="F64" s="149"/>
      <c r="G64" s="149">
        <f>SUM(G61:G63)</f>
        <v>0.24</v>
      </c>
      <c r="H64" s="447">
        <f>Data!H167</f>
        <v>8625.7000000000007</v>
      </c>
      <c r="I64" s="155">
        <f>+ROUND((H64*G64),0)</f>
        <v>2070</v>
      </c>
    </row>
    <row r="65" spans="1:9" ht="70.5" customHeight="1" x14ac:dyDescent="0.25">
      <c r="A65" s="146">
        <v>10</v>
      </c>
      <c r="B65" s="2092" t="str">
        <f>CONCATENATE("VRCC(1:1.5:3) using 20 mm HBG metal including cost and conveyance of all the materials,but excluding the cost of the steel etc complete for Roof Slab with  ",  Data!D152,"mm Thick")</f>
        <v>VRCC(1:1.5:3) using 20 mm HBG metal including cost and conveyance of all the materials,but excluding the cost of the steel etc complete for Roof Slab with  125mm Thick</v>
      </c>
      <c r="C65" s="2092"/>
      <c r="D65" s="2092"/>
      <c r="E65" s="2092"/>
      <c r="F65" s="150"/>
      <c r="G65" s="503"/>
      <c r="H65" s="150"/>
      <c r="I65" s="150"/>
    </row>
    <row r="66" spans="1:9" x14ac:dyDescent="0.25">
      <c r="A66" s="375"/>
      <c r="B66" s="99"/>
      <c r="C66" s="449">
        <v>1</v>
      </c>
      <c r="D66" s="155">
        <f>3.165+3.7+2.665+0.23</f>
        <v>9.7600000000000016</v>
      </c>
      <c r="E66" s="155">
        <f>2*3.165+0.23</f>
        <v>6.5600000000000005</v>
      </c>
      <c r="F66" s="149"/>
      <c r="G66" s="149">
        <f>+ROUND((E66*D66*C66),2)</f>
        <v>64.03</v>
      </c>
      <c r="H66" s="447">
        <f>Data!I158</f>
        <v>13165.9</v>
      </c>
      <c r="I66" s="155">
        <f>+ROUND((H66*G66*0.1),0)</f>
        <v>84301</v>
      </c>
    </row>
    <row r="67" spans="1:9" ht="62.25" customHeight="1" x14ac:dyDescent="0.25">
      <c r="A67" s="146">
        <v>11</v>
      </c>
      <c r="B67" s="2092" t="s">
        <v>362</v>
      </c>
      <c r="C67" s="2093"/>
      <c r="D67" s="2093"/>
      <c r="E67" s="2093"/>
      <c r="F67" s="150"/>
      <c r="G67" s="503"/>
      <c r="H67" s="101"/>
      <c r="I67" s="150"/>
    </row>
    <row r="68" spans="1:9" x14ac:dyDescent="0.25">
      <c r="A68" s="375"/>
      <c r="B68" s="497" t="s">
        <v>543</v>
      </c>
      <c r="C68" s="449">
        <v>1</v>
      </c>
      <c r="D68" s="155">
        <v>50.78</v>
      </c>
      <c r="E68" s="155">
        <v>0.23</v>
      </c>
      <c r="F68" s="149">
        <v>3.15</v>
      </c>
      <c r="G68" s="149">
        <f>+ROUND((F68*E68*D68*C68),2)</f>
        <v>36.79</v>
      </c>
      <c r="H68" s="157"/>
      <c r="I68" s="155"/>
    </row>
    <row r="69" spans="1:9" x14ac:dyDescent="0.25">
      <c r="A69" s="375"/>
      <c r="B69" s="497" t="s">
        <v>544</v>
      </c>
      <c r="C69" s="449">
        <v>2</v>
      </c>
      <c r="D69" s="155">
        <v>6</v>
      </c>
      <c r="E69" s="155">
        <v>0.1</v>
      </c>
      <c r="F69" s="149">
        <v>3.15</v>
      </c>
      <c r="G69" s="149">
        <f>+ROUND((F69*E69*D69*C69),2)</f>
        <v>3.78</v>
      </c>
      <c r="H69" s="157"/>
      <c r="I69" s="155"/>
    </row>
    <row r="70" spans="1:9" x14ac:dyDescent="0.25">
      <c r="A70" s="375"/>
      <c r="B70" s="497" t="s">
        <v>544</v>
      </c>
      <c r="C70" s="449">
        <v>2</v>
      </c>
      <c r="D70" s="155">
        <v>2.5</v>
      </c>
      <c r="E70" s="155">
        <v>0.1</v>
      </c>
      <c r="F70" s="149">
        <v>3.15</v>
      </c>
      <c r="G70" s="149">
        <f>+ROUND((F70*E70*D70*C70),2)</f>
        <v>1.58</v>
      </c>
      <c r="H70" s="157"/>
      <c r="I70" s="155"/>
    </row>
    <row r="71" spans="1:9" x14ac:dyDescent="0.25">
      <c r="A71" s="375"/>
      <c r="B71" s="505" t="s">
        <v>298</v>
      </c>
      <c r="C71" s="449"/>
      <c r="D71" s="155"/>
      <c r="E71" s="155"/>
      <c r="F71" s="149"/>
      <c r="G71" s="149"/>
      <c r="H71" s="157"/>
      <c r="I71" s="155"/>
    </row>
    <row r="72" spans="1:9" ht="15.75" x14ac:dyDescent="0.3">
      <c r="A72" s="375"/>
      <c r="B72" s="497" t="s">
        <v>540</v>
      </c>
      <c r="C72" s="449">
        <v>2</v>
      </c>
      <c r="D72" s="155">
        <v>1.05</v>
      </c>
      <c r="E72" s="155">
        <v>2</v>
      </c>
      <c r="F72" s="149">
        <v>0.23</v>
      </c>
      <c r="G72" s="149">
        <f t="shared" ref="G72:G78" si="2">-ROUND((F72*E72*D72*C72),2)</f>
        <v>-0.97</v>
      </c>
      <c r="H72" s="157"/>
      <c r="I72" s="155"/>
    </row>
    <row r="73" spans="1:9" ht="15.75" x14ac:dyDescent="0.3">
      <c r="A73" s="375"/>
      <c r="B73" s="497" t="s">
        <v>545</v>
      </c>
      <c r="C73" s="449">
        <v>4</v>
      </c>
      <c r="D73" s="155">
        <v>0.9</v>
      </c>
      <c r="E73" s="155">
        <v>2</v>
      </c>
      <c r="F73" s="149">
        <v>0.1</v>
      </c>
      <c r="G73" s="149">
        <f t="shared" si="2"/>
        <v>-0.72</v>
      </c>
      <c r="H73" s="157"/>
      <c r="I73" s="155"/>
    </row>
    <row r="74" spans="1:9" ht="15.75" x14ac:dyDescent="0.3">
      <c r="A74" s="375"/>
      <c r="B74" s="497" t="s">
        <v>546</v>
      </c>
      <c r="C74" s="449">
        <v>2</v>
      </c>
      <c r="D74" s="155">
        <v>0.75</v>
      </c>
      <c r="E74" s="155">
        <v>2</v>
      </c>
      <c r="F74" s="149">
        <v>0.1</v>
      </c>
      <c r="G74" s="149">
        <f t="shared" si="2"/>
        <v>-0.3</v>
      </c>
      <c r="H74" s="157"/>
      <c r="I74" s="155"/>
    </row>
    <row r="75" spans="1:9" ht="15.75" x14ac:dyDescent="0.3">
      <c r="A75" s="375"/>
      <c r="B75" s="497" t="s">
        <v>541</v>
      </c>
      <c r="C75" s="449">
        <v>2</v>
      </c>
      <c r="D75" s="155">
        <v>1.2</v>
      </c>
      <c r="E75" s="155">
        <v>1.2</v>
      </c>
      <c r="F75" s="149">
        <v>0.23</v>
      </c>
      <c r="G75" s="149">
        <f t="shared" si="2"/>
        <v>-0.66</v>
      </c>
      <c r="H75" s="157"/>
      <c r="I75" s="155"/>
    </row>
    <row r="76" spans="1:9" ht="15.75" x14ac:dyDescent="0.3">
      <c r="A76" s="375"/>
      <c r="B76" s="497" t="s">
        <v>542</v>
      </c>
      <c r="C76" s="449">
        <v>2</v>
      </c>
      <c r="D76" s="155">
        <v>0.9</v>
      </c>
      <c r="E76" s="155">
        <v>1.2</v>
      </c>
      <c r="F76" s="149">
        <v>0.23</v>
      </c>
      <c r="G76" s="149">
        <f t="shared" si="2"/>
        <v>-0.5</v>
      </c>
      <c r="H76" s="157"/>
      <c r="I76" s="155"/>
    </row>
    <row r="77" spans="1:9" x14ac:dyDescent="0.25">
      <c r="A77" s="375"/>
      <c r="B77" s="497" t="s">
        <v>547</v>
      </c>
      <c r="C77" s="449">
        <v>10</v>
      </c>
      <c r="D77" s="155">
        <v>0.23</v>
      </c>
      <c r="E77" s="155">
        <v>0.23</v>
      </c>
      <c r="F77" s="149">
        <v>3</v>
      </c>
      <c r="G77" s="149">
        <f t="shared" si="2"/>
        <v>-1.59</v>
      </c>
      <c r="H77" s="157"/>
      <c r="I77" s="155"/>
    </row>
    <row r="78" spans="1:9" x14ac:dyDescent="0.25">
      <c r="A78" s="375"/>
      <c r="B78" s="497" t="s">
        <v>385</v>
      </c>
      <c r="C78" s="449">
        <v>2</v>
      </c>
      <c r="D78" s="155">
        <v>0.6</v>
      </c>
      <c r="E78" s="155">
        <v>0.23</v>
      </c>
      <c r="F78" s="149">
        <v>0.23</v>
      </c>
      <c r="G78" s="149">
        <f t="shared" si="2"/>
        <v>-0.06</v>
      </c>
      <c r="H78" s="157"/>
      <c r="I78" s="155"/>
    </row>
    <row r="79" spans="1:9" x14ac:dyDescent="0.25">
      <c r="A79" s="375"/>
      <c r="B79" s="497"/>
      <c r="C79" s="449"/>
      <c r="D79" s="155"/>
      <c r="E79" s="155"/>
      <c r="F79" s="149"/>
      <c r="G79" s="149">
        <f>SUM(G68:G78)</f>
        <v>37.35</v>
      </c>
      <c r="H79" s="447">
        <f>Data!I96</f>
        <v>5143.3999999999996</v>
      </c>
      <c r="I79" s="155">
        <f>+ROUND((H79*G79),0)</f>
        <v>192106</v>
      </c>
    </row>
    <row r="80" spans="1:9" ht="81.75" customHeight="1" x14ac:dyDescent="0.25">
      <c r="A80" s="146">
        <v>12</v>
      </c>
      <c r="B80" s="2092" t="s">
        <v>548</v>
      </c>
      <c r="C80" s="2093"/>
      <c r="D80" s="2093"/>
      <c r="E80" s="2093"/>
      <c r="F80" s="150"/>
      <c r="G80" s="503"/>
      <c r="H80" s="150"/>
      <c r="I80" s="150"/>
    </row>
    <row r="81" spans="1:9" ht="15.75" x14ac:dyDescent="0.3">
      <c r="A81" s="375"/>
      <c r="B81" s="497" t="s">
        <v>549</v>
      </c>
      <c r="C81" s="444">
        <v>2</v>
      </c>
      <c r="D81" s="101"/>
      <c r="E81" s="150"/>
      <c r="F81" s="150"/>
      <c r="G81" s="503"/>
      <c r="H81" s="454">
        <v>5000</v>
      </c>
      <c r="I81" s="155">
        <f>+ROUND((H81*C81),0)</f>
        <v>10000</v>
      </c>
    </row>
    <row r="82" spans="1:9" ht="15.75" x14ac:dyDescent="0.3">
      <c r="A82" s="375"/>
      <c r="B82" s="497" t="s">
        <v>550</v>
      </c>
      <c r="C82" s="444">
        <v>4</v>
      </c>
      <c r="D82" s="101"/>
      <c r="E82" s="150"/>
      <c r="F82" s="150"/>
      <c r="G82" s="503"/>
      <c r="H82" s="454">
        <v>3500</v>
      </c>
      <c r="I82" s="155">
        <f>+ROUND((H82*C82),0)</f>
        <v>14000</v>
      </c>
    </row>
    <row r="83" spans="1:9" ht="15.75" x14ac:dyDescent="0.3">
      <c r="A83" s="375"/>
      <c r="B83" s="497" t="s">
        <v>551</v>
      </c>
      <c r="C83" s="444">
        <v>2</v>
      </c>
      <c r="D83" s="101"/>
      <c r="E83" s="150"/>
      <c r="F83" s="150"/>
      <c r="G83" s="503"/>
      <c r="H83" s="454">
        <v>3000</v>
      </c>
      <c r="I83" s="155">
        <f>+ROUND((H83*C83),0)</f>
        <v>6000</v>
      </c>
    </row>
    <row r="84" spans="1:9" ht="73.5" customHeight="1" x14ac:dyDescent="0.25">
      <c r="A84" s="146">
        <v>13</v>
      </c>
      <c r="B84" s="2092" t="s">
        <v>395</v>
      </c>
      <c r="C84" s="2093"/>
      <c r="D84" s="2093"/>
      <c r="E84" s="2093"/>
      <c r="F84" s="150"/>
      <c r="G84" s="506"/>
      <c r="H84" s="150"/>
      <c r="I84" s="150"/>
    </row>
    <row r="85" spans="1:9" ht="15.75" x14ac:dyDescent="0.3">
      <c r="A85" s="375"/>
      <c r="B85" s="497" t="s">
        <v>552</v>
      </c>
      <c r="C85" s="444">
        <v>2</v>
      </c>
      <c r="D85" s="101"/>
      <c r="E85" s="150"/>
      <c r="F85" s="150"/>
      <c r="G85" s="503"/>
      <c r="H85" s="454">
        <v>3000</v>
      </c>
      <c r="I85" s="155">
        <f>+ROUND((H85*C85),0)</f>
        <v>6000</v>
      </c>
    </row>
    <row r="86" spans="1:9" ht="15.75" x14ac:dyDescent="0.3">
      <c r="A86" s="375"/>
      <c r="B86" s="497" t="s">
        <v>553</v>
      </c>
      <c r="C86" s="444">
        <v>2</v>
      </c>
      <c r="D86" s="101"/>
      <c r="E86" s="150"/>
      <c r="F86" s="150"/>
      <c r="G86" s="503"/>
      <c r="H86" s="454">
        <v>2000</v>
      </c>
      <c r="I86" s="155">
        <f>+ROUND((H86*C86),0)</f>
        <v>4000</v>
      </c>
    </row>
    <row r="87" spans="1:9" ht="67.5" customHeight="1" x14ac:dyDescent="0.25">
      <c r="A87" s="146">
        <v>14</v>
      </c>
      <c r="B87" s="2094" t="s">
        <v>387</v>
      </c>
      <c r="C87" s="2093"/>
      <c r="D87" s="2093"/>
      <c r="E87" s="2093"/>
      <c r="F87" s="150"/>
      <c r="G87" s="503"/>
      <c r="H87" s="150"/>
      <c r="I87" s="150"/>
    </row>
    <row r="88" spans="1:9" x14ac:dyDescent="0.25">
      <c r="A88" s="375"/>
      <c r="B88" s="497" t="s">
        <v>554</v>
      </c>
      <c r="C88" s="444">
        <v>2</v>
      </c>
      <c r="D88" s="157">
        <v>2.94</v>
      </c>
      <c r="E88" s="155">
        <v>2.94</v>
      </c>
      <c r="F88" s="157"/>
      <c r="G88" s="149">
        <f>ROUND(C88*D88*E88,2)</f>
        <v>17.29</v>
      </c>
      <c r="H88" s="157"/>
      <c r="I88" s="155"/>
    </row>
    <row r="89" spans="1:9" x14ac:dyDescent="0.25">
      <c r="A89" s="375"/>
      <c r="B89" s="497" t="s">
        <v>555</v>
      </c>
      <c r="C89" s="444">
        <v>2</v>
      </c>
      <c r="D89" s="157">
        <v>3.47</v>
      </c>
      <c r="E89" s="155">
        <v>2.94</v>
      </c>
      <c r="F89" s="157"/>
      <c r="G89" s="149">
        <f>ROUND(C89*D89*E89,2)</f>
        <v>20.399999999999999</v>
      </c>
      <c r="H89" s="157"/>
      <c r="I89" s="155"/>
    </row>
    <row r="90" spans="1:9" x14ac:dyDescent="0.25">
      <c r="A90" s="375"/>
      <c r="B90" s="497" t="s">
        <v>556</v>
      </c>
      <c r="C90" s="444">
        <v>2</v>
      </c>
      <c r="D90" s="157">
        <v>2.44</v>
      </c>
      <c r="E90" s="155">
        <v>1.57</v>
      </c>
      <c r="F90" s="157"/>
      <c r="G90" s="149">
        <f>ROUND(C90*D90*E90,2)</f>
        <v>7.66</v>
      </c>
      <c r="H90" s="157"/>
      <c r="I90" s="155"/>
    </row>
    <row r="91" spans="1:9" x14ac:dyDescent="0.25">
      <c r="A91" s="375"/>
      <c r="B91" s="497" t="s">
        <v>557</v>
      </c>
      <c r="C91" s="444">
        <v>2</v>
      </c>
      <c r="D91" s="157">
        <v>2.44</v>
      </c>
      <c r="E91" s="155">
        <v>1.1399999999999999</v>
      </c>
      <c r="F91" s="157"/>
      <c r="G91" s="149">
        <f>ROUND(C91*D91*E91,2)</f>
        <v>5.56</v>
      </c>
      <c r="H91" s="157"/>
      <c r="I91" s="155"/>
    </row>
    <row r="92" spans="1:9" x14ac:dyDescent="0.25">
      <c r="A92" s="375"/>
      <c r="B92" s="497" t="s">
        <v>558</v>
      </c>
      <c r="C92" s="444">
        <v>1</v>
      </c>
      <c r="D92" s="157">
        <v>7</v>
      </c>
      <c r="E92" s="155">
        <v>0.6</v>
      </c>
      <c r="F92" s="157"/>
      <c r="G92" s="149">
        <f>ROUND(C92*D92*E92,2)</f>
        <v>4.2</v>
      </c>
      <c r="H92" s="157"/>
      <c r="I92" s="155"/>
    </row>
    <row r="93" spans="1:9" x14ac:dyDescent="0.25">
      <c r="A93" s="375"/>
      <c r="B93" s="147"/>
      <c r="C93" s="507"/>
      <c r="D93" s="157"/>
      <c r="E93" s="155"/>
      <c r="F93" s="157"/>
      <c r="G93" s="155">
        <f>SUM(G88:G92)</f>
        <v>55.11</v>
      </c>
      <c r="H93" s="447">
        <f>Data!I248</f>
        <v>6670.4</v>
      </c>
      <c r="I93" s="155">
        <f>ROUNDUP(G93*H93*0.1,0)</f>
        <v>36761</v>
      </c>
    </row>
    <row r="94" spans="1:9" ht="57" customHeight="1" x14ac:dyDescent="0.25">
      <c r="A94" s="146">
        <v>15</v>
      </c>
      <c r="B94" s="2094" t="s">
        <v>381</v>
      </c>
      <c r="C94" s="2093"/>
      <c r="D94" s="2093"/>
      <c r="E94" s="2093"/>
      <c r="F94" s="150"/>
      <c r="G94" s="503"/>
      <c r="H94" s="150"/>
      <c r="I94" s="150"/>
    </row>
    <row r="95" spans="1:9" x14ac:dyDescent="0.25">
      <c r="A95" s="375"/>
      <c r="B95" s="497" t="s">
        <v>559</v>
      </c>
      <c r="C95" s="444">
        <v>1</v>
      </c>
      <c r="D95" s="157">
        <v>114.64</v>
      </c>
      <c r="E95" s="155"/>
      <c r="F95" s="157">
        <v>3.15</v>
      </c>
      <c r="G95" s="149">
        <f>+ROUND((F95*D95*C95),2)</f>
        <v>361.12</v>
      </c>
      <c r="H95" s="444"/>
      <c r="I95" s="157"/>
    </row>
    <row r="96" spans="1:9" x14ac:dyDescent="0.25">
      <c r="A96" s="375"/>
      <c r="B96" s="505" t="s">
        <v>298</v>
      </c>
      <c r="C96" s="444"/>
      <c r="D96" s="157"/>
      <c r="E96" s="155"/>
      <c r="F96" s="157"/>
      <c r="G96" s="149"/>
      <c r="H96" s="444"/>
      <c r="I96" s="157"/>
    </row>
    <row r="97" spans="1:9" ht="15.75" x14ac:dyDescent="0.3">
      <c r="A97" s="375"/>
      <c r="B97" s="497" t="s">
        <v>540</v>
      </c>
      <c r="C97" s="444">
        <v>2</v>
      </c>
      <c r="D97" s="157">
        <v>1.05</v>
      </c>
      <c r="E97" s="155">
        <v>2</v>
      </c>
      <c r="F97" s="157"/>
      <c r="G97" s="149">
        <f t="shared" ref="G97:G102" si="3">-ROUND((E97*D97*C97),2)</f>
        <v>-4.2</v>
      </c>
      <c r="H97" s="444"/>
      <c r="I97" s="157"/>
    </row>
    <row r="98" spans="1:9" ht="15.75" x14ac:dyDescent="0.3">
      <c r="A98" s="375"/>
      <c r="B98" s="497" t="s">
        <v>545</v>
      </c>
      <c r="C98" s="444">
        <v>4</v>
      </c>
      <c r="D98" s="157">
        <v>0.9</v>
      </c>
      <c r="E98" s="155">
        <v>2</v>
      </c>
      <c r="F98" s="157"/>
      <c r="G98" s="149">
        <f t="shared" si="3"/>
        <v>-7.2</v>
      </c>
      <c r="H98" s="444"/>
      <c r="I98" s="157"/>
    </row>
    <row r="99" spans="1:9" ht="15.75" x14ac:dyDescent="0.3">
      <c r="A99" s="375"/>
      <c r="B99" s="497" t="s">
        <v>546</v>
      </c>
      <c r="C99" s="444">
        <v>2</v>
      </c>
      <c r="D99" s="157">
        <v>0.75</v>
      </c>
      <c r="E99" s="155">
        <v>2</v>
      </c>
      <c r="F99" s="157"/>
      <c r="G99" s="149">
        <f t="shared" si="3"/>
        <v>-3</v>
      </c>
      <c r="H99" s="444"/>
      <c r="I99" s="157"/>
    </row>
    <row r="100" spans="1:9" ht="15.75" x14ac:dyDescent="0.3">
      <c r="A100" s="375"/>
      <c r="B100" s="497" t="s">
        <v>541</v>
      </c>
      <c r="C100" s="444">
        <v>2</v>
      </c>
      <c r="D100" s="157">
        <v>1.2</v>
      </c>
      <c r="E100" s="155">
        <v>1.2</v>
      </c>
      <c r="F100" s="157"/>
      <c r="G100" s="149">
        <f t="shared" si="3"/>
        <v>-2.88</v>
      </c>
      <c r="H100" s="444"/>
      <c r="I100" s="157"/>
    </row>
    <row r="101" spans="1:9" ht="15.75" x14ac:dyDescent="0.3">
      <c r="A101" s="375"/>
      <c r="B101" s="497" t="s">
        <v>542</v>
      </c>
      <c r="C101" s="444">
        <v>2</v>
      </c>
      <c r="D101" s="157">
        <v>0.9</v>
      </c>
      <c r="E101" s="155">
        <v>1.2</v>
      </c>
      <c r="F101" s="157"/>
      <c r="G101" s="149">
        <f t="shared" si="3"/>
        <v>-2.16</v>
      </c>
      <c r="H101" s="444"/>
      <c r="I101" s="157"/>
    </row>
    <row r="102" spans="1:9" x14ac:dyDescent="0.25">
      <c r="A102" s="375"/>
      <c r="B102" s="497" t="s">
        <v>385</v>
      </c>
      <c r="C102" s="444">
        <v>2</v>
      </c>
      <c r="D102" s="157">
        <v>0.6</v>
      </c>
      <c r="E102" s="155">
        <v>0.23</v>
      </c>
      <c r="F102" s="157"/>
      <c r="G102" s="149">
        <f t="shared" si="3"/>
        <v>-0.28000000000000003</v>
      </c>
      <c r="H102" s="444"/>
      <c r="I102" s="157"/>
    </row>
    <row r="103" spans="1:9" x14ac:dyDescent="0.25">
      <c r="A103" s="375"/>
      <c r="B103" s="147"/>
      <c r="C103" s="444"/>
      <c r="D103" s="157"/>
      <c r="E103" s="155"/>
      <c r="F103" s="157"/>
      <c r="G103" s="149">
        <f>SUM(G95:G102)</f>
        <v>341.40000000000003</v>
      </c>
      <c r="H103" s="447">
        <f>Data!I342</f>
        <v>1220.0999999999999</v>
      </c>
      <c r="I103" s="489">
        <f>+ROUND((H103*G103*0.1),0)</f>
        <v>41654</v>
      </c>
    </row>
    <row r="104" spans="1:9" ht="54.75" customHeight="1" x14ac:dyDescent="0.25">
      <c r="A104" s="146">
        <v>16</v>
      </c>
      <c r="B104" s="2094" t="s">
        <v>386</v>
      </c>
      <c r="C104" s="2093"/>
      <c r="D104" s="2093"/>
      <c r="E104" s="2093"/>
      <c r="F104" s="150"/>
      <c r="G104" s="503"/>
      <c r="H104" s="217"/>
      <c r="I104" s="150"/>
    </row>
    <row r="105" spans="1:9" x14ac:dyDescent="0.25">
      <c r="A105" s="375"/>
      <c r="B105" s="497" t="s">
        <v>560</v>
      </c>
      <c r="C105" s="444">
        <v>1</v>
      </c>
      <c r="D105" s="157">
        <f>3.165+3.7+2.665+0.23</f>
        <v>9.7600000000000016</v>
      </c>
      <c r="E105" s="155"/>
      <c r="F105" s="157">
        <f>2*3.165+0.23</f>
        <v>6.5600000000000005</v>
      </c>
      <c r="G105" s="149">
        <f>+ROUND((F105*D105*C105),2)</f>
        <v>64.03</v>
      </c>
      <c r="H105" s="447">
        <f>Data!H233</f>
        <v>1619.7</v>
      </c>
      <c r="I105" s="489">
        <f>+ROUND((H105*G105*0.1),0)</f>
        <v>10371</v>
      </c>
    </row>
    <row r="106" spans="1:9" ht="52.5" customHeight="1" x14ac:dyDescent="0.25">
      <c r="A106" s="146">
        <v>17</v>
      </c>
      <c r="B106" s="2094" t="s">
        <v>391</v>
      </c>
      <c r="C106" s="2093"/>
      <c r="D106" s="2093"/>
      <c r="E106" s="2093"/>
      <c r="F106" s="150"/>
      <c r="G106" s="508"/>
      <c r="H106" s="90"/>
      <c r="I106" s="150"/>
    </row>
    <row r="107" spans="1:9" x14ac:dyDescent="0.25">
      <c r="A107" s="375"/>
      <c r="B107" s="497" t="s">
        <v>561</v>
      </c>
      <c r="C107" s="444">
        <v>1</v>
      </c>
      <c r="D107" s="157">
        <v>82</v>
      </c>
      <c r="E107" s="155"/>
      <c r="F107" s="157">
        <v>3.15</v>
      </c>
      <c r="G107" s="149">
        <f>C107*D107*F107</f>
        <v>258.3</v>
      </c>
      <c r="H107" s="444"/>
      <c r="I107" s="157"/>
    </row>
    <row r="108" spans="1:9" x14ac:dyDescent="0.25">
      <c r="A108" s="375"/>
      <c r="B108" s="505" t="s">
        <v>298</v>
      </c>
      <c r="C108" s="444"/>
      <c r="D108" s="157"/>
      <c r="E108" s="155"/>
      <c r="F108" s="157"/>
      <c r="G108" s="149"/>
      <c r="H108" s="444"/>
      <c r="I108" s="157"/>
    </row>
    <row r="109" spans="1:9" ht="15.75" x14ac:dyDescent="0.3">
      <c r="A109" s="375"/>
      <c r="B109" s="497" t="s">
        <v>540</v>
      </c>
      <c r="C109" s="444">
        <v>2</v>
      </c>
      <c r="D109" s="157">
        <v>1.05</v>
      </c>
      <c r="E109" s="155">
        <v>2</v>
      </c>
      <c r="F109" s="157"/>
      <c r="G109" s="149">
        <f t="shared" ref="G109:G114" si="4">-ROUND((E109*D109*C109),2)</f>
        <v>-4.2</v>
      </c>
      <c r="H109" s="444"/>
      <c r="I109" s="157"/>
    </row>
    <row r="110" spans="1:9" ht="15.75" x14ac:dyDescent="0.3">
      <c r="A110" s="375"/>
      <c r="B110" s="497" t="s">
        <v>545</v>
      </c>
      <c r="C110" s="444">
        <v>4</v>
      </c>
      <c r="D110" s="157">
        <v>0.9</v>
      </c>
      <c r="E110" s="155">
        <v>2</v>
      </c>
      <c r="F110" s="157"/>
      <c r="G110" s="149">
        <f t="shared" si="4"/>
        <v>-7.2</v>
      </c>
      <c r="H110" s="444"/>
      <c r="I110" s="157"/>
    </row>
    <row r="111" spans="1:9" ht="15.75" x14ac:dyDescent="0.3">
      <c r="A111" s="375"/>
      <c r="B111" s="497" t="s">
        <v>546</v>
      </c>
      <c r="C111" s="444">
        <v>2</v>
      </c>
      <c r="D111" s="157">
        <v>0.75</v>
      </c>
      <c r="E111" s="155">
        <v>2</v>
      </c>
      <c r="F111" s="157"/>
      <c r="G111" s="149">
        <f t="shared" si="4"/>
        <v>-3</v>
      </c>
      <c r="H111" s="444"/>
      <c r="I111" s="157"/>
    </row>
    <row r="112" spans="1:9" ht="15.75" x14ac:dyDescent="0.3">
      <c r="A112" s="375"/>
      <c r="B112" s="497" t="s">
        <v>541</v>
      </c>
      <c r="C112" s="444">
        <v>2</v>
      </c>
      <c r="D112" s="157">
        <v>1.2</v>
      </c>
      <c r="E112" s="155">
        <v>1.2</v>
      </c>
      <c r="F112" s="157"/>
      <c r="G112" s="149">
        <f t="shared" si="4"/>
        <v>-2.88</v>
      </c>
      <c r="H112" s="444"/>
      <c r="I112" s="157"/>
    </row>
    <row r="113" spans="1:9" ht="15.75" x14ac:dyDescent="0.3">
      <c r="A113" s="375"/>
      <c r="B113" s="497" t="s">
        <v>542</v>
      </c>
      <c r="C113" s="444">
        <v>2</v>
      </c>
      <c r="D113" s="157">
        <v>0.9</v>
      </c>
      <c r="E113" s="155">
        <v>1.2</v>
      </c>
      <c r="F113" s="157"/>
      <c r="G113" s="149">
        <f t="shared" si="4"/>
        <v>-2.16</v>
      </c>
      <c r="H113" s="444"/>
      <c r="I113" s="157"/>
    </row>
    <row r="114" spans="1:9" x14ac:dyDescent="0.25">
      <c r="A114" s="375"/>
      <c r="B114" s="497" t="s">
        <v>385</v>
      </c>
      <c r="C114" s="444">
        <v>2</v>
      </c>
      <c r="D114" s="157">
        <v>0.6</v>
      </c>
      <c r="E114" s="155">
        <v>0.23</v>
      </c>
      <c r="F114" s="157"/>
      <c r="G114" s="149">
        <f t="shared" si="4"/>
        <v>-0.28000000000000003</v>
      </c>
      <c r="H114" s="444"/>
      <c r="I114" s="157"/>
    </row>
    <row r="115" spans="1:9" x14ac:dyDescent="0.25">
      <c r="A115" s="375"/>
      <c r="B115" s="497" t="s">
        <v>384</v>
      </c>
      <c r="C115" s="444">
        <v>1</v>
      </c>
      <c r="D115" s="157">
        <v>9.76</v>
      </c>
      <c r="E115" s="157">
        <v>6.56</v>
      </c>
      <c r="F115" s="90"/>
      <c r="G115" s="149">
        <f>+ROUND((E115*D115*C115),2)</f>
        <v>64.03</v>
      </c>
      <c r="H115" s="444"/>
      <c r="I115" s="157"/>
    </row>
    <row r="116" spans="1:9" x14ac:dyDescent="0.25">
      <c r="A116" s="375"/>
      <c r="B116" s="90"/>
      <c r="C116" s="444"/>
      <c r="D116" s="157"/>
      <c r="E116" s="155"/>
      <c r="F116" s="157"/>
      <c r="G116" s="149">
        <f>SUM(G107:G115)</f>
        <v>302.61</v>
      </c>
      <c r="H116" s="447">
        <f>Data!I299</f>
        <v>346.6</v>
      </c>
      <c r="I116" s="489">
        <f>+ROUND((H116*G116*0.1),0)</f>
        <v>10488</v>
      </c>
    </row>
    <row r="117" spans="1:9" ht="51.75" customHeight="1" x14ac:dyDescent="0.25">
      <c r="A117" s="146">
        <v>18</v>
      </c>
      <c r="B117" s="2094" t="s">
        <v>306</v>
      </c>
      <c r="C117" s="2093"/>
      <c r="D117" s="2093"/>
      <c r="E117" s="2093"/>
      <c r="F117" s="150"/>
      <c r="G117" s="503"/>
      <c r="H117" s="217"/>
      <c r="I117" s="150"/>
    </row>
    <row r="118" spans="1:9" x14ac:dyDescent="0.25">
      <c r="A118" s="375"/>
      <c r="B118" s="497" t="s">
        <v>562</v>
      </c>
      <c r="C118" s="444">
        <v>1</v>
      </c>
      <c r="D118" s="157">
        <v>32.64</v>
      </c>
      <c r="E118" s="155"/>
      <c r="F118" s="157">
        <v>3.15</v>
      </c>
      <c r="G118" s="149">
        <f>+ROUND((F118*D118*C118),2)</f>
        <v>102.82</v>
      </c>
      <c r="H118" s="444"/>
      <c r="I118" s="157"/>
    </row>
    <row r="119" spans="1:9" x14ac:dyDescent="0.25">
      <c r="A119" s="375"/>
      <c r="B119" s="505" t="s">
        <v>298</v>
      </c>
      <c r="C119" s="444"/>
      <c r="D119" s="157"/>
      <c r="E119" s="155"/>
      <c r="F119" s="157"/>
      <c r="G119" s="149"/>
      <c r="H119" s="444"/>
      <c r="I119" s="157"/>
    </row>
    <row r="120" spans="1:9" ht="15.75" x14ac:dyDescent="0.3">
      <c r="A120" s="375"/>
      <c r="B120" s="497" t="s">
        <v>540</v>
      </c>
      <c r="C120" s="444">
        <v>2</v>
      </c>
      <c r="D120" s="157">
        <v>1.05</v>
      </c>
      <c r="E120" s="155">
        <v>2</v>
      </c>
      <c r="F120" s="157"/>
      <c r="G120" s="149">
        <f t="shared" ref="G120:G125" si="5">-ROUND((E120*D120*C120),2)</f>
        <v>-4.2</v>
      </c>
      <c r="H120" s="444"/>
      <c r="I120" s="157"/>
    </row>
    <row r="121" spans="1:9" ht="15.75" x14ac:dyDescent="0.3">
      <c r="A121" s="375"/>
      <c r="B121" s="497" t="s">
        <v>545</v>
      </c>
      <c r="C121" s="444">
        <v>4</v>
      </c>
      <c r="D121" s="157">
        <v>0.9</v>
      </c>
      <c r="E121" s="155">
        <v>2</v>
      </c>
      <c r="F121" s="157"/>
      <c r="G121" s="149">
        <f t="shared" si="5"/>
        <v>-7.2</v>
      </c>
      <c r="H121" s="444"/>
      <c r="I121" s="157"/>
    </row>
    <row r="122" spans="1:9" ht="15.75" x14ac:dyDescent="0.3">
      <c r="A122" s="375"/>
      <c r="B122" s="497" t="s">
        <v>546</v>
      </c>
      <c r="C122" s="444">
        <v>2</v>
      </c>
      <c r="D122" s="157">
        <v>0.75</v>
      </c>
      <c r="E122" s="155">
        <v>2</v>
      </c>
      <c r="F122" s="157"/>
      <c r="G122" s="149">
        <f t="shared" si="5"/>
        <v>-3</v>
      </c>
      <c r="H122" s="444"/>
      <c r="I122" s="157"/>
    </row>
    <row r="123" spans="1:9" ht="15.75" x14ac:dyDescent="0.3">
      <c r="A123" s="375"/>
      <c r="B123" s="497" t="s">
        <v>541</v>
      </c>
      <c r="C123" s="444">
        <v>2</v>
      </c>
      <c r="D123" s="157">
        <v>1.2</v>
      </c>
      <c r="E123" s="155">
        <v>1.2</v>
      </c>
      <c r="F123" s="157"/>
      <c r="G123" s="149">
        <f t="shared" si="5"/>
        <v>-2.88</v>
      </c>
      <c r="H123" s="444"/>
      <c r="I123" s="157"/>
    </row>
    <row r="124" spans="1:9" ht="15.75" x14ac:dyDescent="0.3">
      <c r="A124" s="375"/>
      <c r="B124" s="497" t="s">
        <v>542</v>
      </c>
      <c r="C124" s="444">
        <v>2</v>
      </c>
      <c r="D124" s="157">
        <v>0.9</v>
      </c>
      <c r="E124" s="155">
        <v>1.2</v>
      </c>
      <c r="F124" s="157"/>
      <c r="G124" s="149">
        <f t="shared" si="5"/>
        <v>-2.16</v>
      </c>
      <c r="H124" s="444"/>
      <c r="I124" s="157"/>
    </row>
    <row r="125" spans="1:9" x14ac:dyDescent="0.25">
      <c r="A125" s="375"/>
      <c r="B125" s="497" t="s">
        <v>385</v>
      </c>
      <c r="C125" s="444">
        <v>2</v>
      </c>
      <c r="D125" s="157">
        <v>0.6</v>
      </c>
      <c r="E125" s="155">
        <v>0.23</v>
      </c>
      <c r="F125" s="157"/>
      <c r="G125" s="149">
        <f t="shared" si="5"/>
        <v>-0.28000000000000003</v>
      </c>
      <c r="H125" s="444"/>
      <c r="I125" s="157"/>
    </row>
    <row r="126" spans="1:9" x14ac:dyDescent="0.25">
      <c r="A126" s="375"/>
      <c r="B126" s="90"/>
      <c r="C126" s="444"/>
      <c r="D126" s="157"/>
      <c r="E126" s="155"/>
      <c r="F126" s="157"/>
      <c r="G126" s="149">
        <f>SUM(G118:G125)</f>
        <v>83.1</v>
      </c>
      <c r="H126" s="447">
        <f>Data!I315</f>
        <v>1202.7</v>
      </c>
      <c r="I126" s="489">
        <f>+ROUND((H126*G126*0.1),0)</f>
        <v>9994</v>
      </c>
    </row>
    <row r="127" spans="1:9" ht="60" customHeight="1" x14ac:dyDescent="0.25">
      <c r="A127" s="146">
        <v>19</v>
      </c>
      <c r="B127" s="2092" t="s">
        <v>388</v>
      </c>
      <c r="C127" s="2093"/>
      <c r="D127" s="2093"/>
      <c r="E127" s="2093"/>
      <c r="F127" s="150"/>
      <c r="G127" s="503"/>
      <c r="H127" s="150"/>
      <c r="I127" s="150"/>
    </row>
    <row r="128" spans="1:9" ht="15.75" x14ac:dyDescent="0.3">
      <c r="A128" s="375"/>
      <c r="B128" s="497" t="s">
        <v>540</v>
      </c>
      <c r="C128" s="444">
        <v>2</v>
      </c>
      <c r="D128" s="157">
        <v>1.05</v>
      </c>
      <c r="E128" s="155">
        <v>2</v>
      </c>
      <c r="F128" s="157"/>
      <c r="G128" s="149">
        <f>ROUND((E128*D128*C128),2)</f>
        <v>4.2</v>
      </c>
      <c r="H128" s="444"/>
      <c r="I128" s="157"/>
    </row>
    <row r="129" spans="1:12" ht="15.75" x14ac:dyDescent="0.3">
      <c r="A129" s="375"/>
      <c r="B129" s="497" t="s">
        <v>545</v>
      </c>
      <c r="C129" s="444">
        <v>4</v>
      </c>
      <c r="D129" s="157">
        <v>0.9</v>
      </c>
      <c r="E129" s="155">
        <v>2</v>
      </c>
      <c r="F129" s="157"/>
      <c r="G129" s="149">
        <f>ROUND((E129*D129*C129),2)</f>
        <v>7.2</v>
      </c>
      <c r="H129" s="444"/>
      <c r="I129" s="157"/>
    </row>
    <row r="130" spans="1:12" ht="15.75" x14ac:dyDescent="0.3">
      <c r="A130" s="375"/>
      <c r="B130" s="497" t="s">
        <v>546</v>
      </c>
      <c r="C130" s="444">
        <v>2</v>
      </c>
      <c r="D130" s="157">
        <v>0.75</v>
      </c>
      <c r="E130" s="155">
        <v>2</v>
      </c>
      <c r="F130" s="157"/>
      <c r="G130" s="149">
        <f>ROUND((E130*D130*C130),2)</f>
        <v>3</v>
      </c>
      <c r="H130" s="444"/>
      <c r="I130" s="157"/>
    </row>
    <row r="131" spans="1:12" ht="15.75" x14ac:dyDescent="0.3">
      <c r="A131" s="375"/>
      <c r="B131" s="497" t="s">
        <v>541</v>
      </c>
      <c r="C131" s="444">
        <v>2</v>
      </c>
      <c r="D131" s="157">
        <v>1.2</v>
      </c>
      <c r="E131" s="155">
        <v>1.2</v>
      </c>
      <c r="F131" s="157"/>
      <c r="G131" s="149">
        <f>ROUND((E131*D131*C131),2)</f>
        <v>2.88</v>
      </c>
      <c r="H131" s="444"/>
      <c r="I131" s="157"/>
    </row>
    <row r="132" spans="1:12" ht="15.75" x14ac:dyDescent="0.3">
      <c r="A132" s="375"/>
      <c r="B132" s="497" t="s">
        <v>542</v>
      </c>
      <c r="C132" s="444">
        <v>2</v>
      </c>
      <c r="D132" s="157">
        <v>0.9</v>
      </c>
      <c r="E132" s="155">
        <v>1.2</v>
      </c>
      <c r="F132" s="157"/>
      <c r="G132" s="149">
        <f>ROUND((E132*D132*C132),2)</f>
        <v>2.16</v>
      </c>
      <c r="H132" s="444"/>
      <c r="I132" s="157"/>
    </row>
    <row r="133" spans="1:12" x14ac:dyDescent="0.25">
      <c r="A133" s="375"/>
      <c r="B133" s="90"/>
      <c r="C133" s="444"/>
      <c r="D133" s="157"/>
      <c r="E133" s="155"/>
      <c r="F133" s="157"/>
      <c r="G133" s="149">
        <f>SUM(G128:G132)</f>
        <v>19.440000000000001</v>
      </c>
      <c r="H133" s="447">
        <f>Data!I288</f>
        <v>2209.6999999999998</v>
      </c>
      <c r="I133" s="489">
        <f>+ROUND((H133*G133*0.1),0)</f>
        <v>4296</v>
      </c>
      <c r="K133" s="509"/>
    </row>
    <row r="134" spans="1:12" ht="64.5" customHeight="1" x14ac:dyDescent="0.25">
      <c r="A134" s="146">
        <v>20</v>
      </c>
      <c r="B134" s="2092" t="s">
        <v>156</v>
      </c>
      <c r="C134" s="2093"/>
      <c r="D134" s="2093"/>
      <c r="E134" s="2093"/>
      <c r="F134" s="150"/>
      <c r="G134" s="503"/>
      <c r="H134" s="90"/>
      <c r="I134" s="150"/>
    </row>
    <row r="135" spans="1:12" x14ac:dyDescent="0.25">
      <c r="A135" s="375"/>
      <c r="B135" s="90"/>
      <c r="C135" s="507"/>
      <c r="D135" s="101"/>
      <c r="E135" s="150"/>
      <c r="F135" s="150"/>
      <c r="G135" s="149">
        <f>(G45+G53+G59+G64+G66/10)*0.05</f>
        <v>0.84894999999999998</v>
      </c>
      <c r="H135" s="447">
        <f>Data!H327</f>
        <v>60670.400000000001</v>
      </c>
      <c r="I135" s="489">
        <f>+ROUND((H135*G135),0)</f>
        <v>51506</v>
      </c>
    </row>
    <row r="136" spans="1:12" ht="58.5" customHeight="1" x14ac:dyDescent="0.25">
      <c r="A136" s="146">
        <v>21</v>
      </c>
      <c r="B136" s="2092" t="s">
        <v>396</v>
      </c>
      <c r="C136" s="2093"/>
      <c r="D136" s="2093"/>
      <c r="E136" s="2093"/>
      <c r="F136" s="150"/>
      <c r="G136" s="444">
        <v>2</v>
      </c>
      <c r="H136" s="454">
        <v>300</v>
      </c>
      <c r="I136" s="489">
        <f>+ROUND((H136*G136),0)</f>
        <v>600</v>
      </c>
    </row>
    <row r="137" spans="1:12" ht="30" customHeight="1" x14ac:dyDescent="0.25">
      <c r="A137" s="146">
        <v>22</v>
      </c>
      <c r="B137" s="2092" t="s">
        <v>563</v>
      </c>
      <c r="C137" s="2093"/>
      <c r="D137" s="2093"/>
      <c r="E137" s="2093"/>
      <c r="F137" s="90"/>
      <c r="G137" s="90"/>
      <c r="H137" s="150"/>
      <c r="I137" s="489">
        <f>+I138-SUM(I14:I136)</f>
        <v>9702</v>
      </c>
      <c r="J137" s="154"/>
    </row>
    <row r="138" spans="1:12" ht="27.75" customHeight="1" x14ac:dyDescent="0.25">
      <c r="A138" s="90"/>
      <c r="B138" s="90"/>
      <c r="C138" s="90"/>
      <c r="D138" s="90"/>
      <c r="E138" s="90"/>
      <c r="F138" s="90"/>
      <c r="G138" s="90"/>
      <c r="H138" s="100"/>
      <c r="I138" s="165">
        <f>((INT(SUM(I14:I136)*0.00004))*25000)+25000</f>
        <v>825000</v>
      </c>
      <c r="J138" s="154"/>
      <c r="L138" s="378">
        <f>I138-I137</f>
        <v>815298</v>
      </c>
    </row>
    <row r="139" spans="1:12" x14ac:dyDescent="0.25">
      <c r="A139" s="375"/>
      <c r="B139" s="90"/>
      <c r="C139" s="101"/>
      <c r="D139" s="101"/>
      <c r="E139" s="150"/>
      <c r="F139" s="150"/>
      <c r="G139" s="101"/>
      <c r="H139" s="90"/>
      <c r="I139" s="90"/>
    </row>
    <row r="140" spans="1:12" x14ac:dyDescent="0.25">
      <c r="A140" s="510"/>
      <c r="B140" s="2130"/>
      <c r="C140" s="2130"/>
      <c r="D140" s="511"/>
      <c r="E140" s="512"/>
      <c r="F140" s="513"/>
      <c r="G140" s="514"/>
      <c r="H140" s="100"/>
      <c r="I140" s="100"/>
    </row>
    <row r="141" spans="1:12" s="367" customFormat="1" ht="12.75" x14ac:dyDescent="0.2">
      <c r="B141" s="368"/>
      <c r="D141" s="369"/>
      <c r="G141" s="369"/>
      <c r="I141" s="370"/>
      <c r="J141" s="371"/>
    </row>
    <row r="142" spans="1:12" s="367" customFormat="1" ht="12.75" x14ac:dyDescent="0.2">
      <c r="B142" s="368"/>
      <c r="D142" s="369"/>
      <c r="G142" s="369"/>
      <c r="I142" s="369"/>
      <c r="J142" s="371"/>
    </row>
    <row r="143" spans="1:12" s="367" customFormat="1" ht="12.75" x14ac:dyDescent="0.2">
      <c r="B143" s="368"/>
      <c r="C143" s="369"/>
      <c r="D143" s="369"/>
      <c r="E143" s="372"/>
      <c r="F143" s="372"/>
      <c r="G143" s="372"/>
      <c r="H143" s="372"/>
      <c r="I143" s="373"/>
      <c r="J143" s="371"/>
    </row>
    <row r="144" spans="1:12" s="367" customFormat="1" ht="12.75" x14ac:dyDescent="0.2">
      <c r="B144" s="368"/>
      <c r="C144" s="369"/>
      <c r="D144" s="369"/>
      <c r="E144" s="369"/>
      <c r="F144" s="369"/>
      <c r="G144" s="369"/>
      <c r="H144" s="369"/>
      <c r="I144" s="369"/>
      <c r="J144" s="371"/>
    </row>
    <row r="145" spans="1:10" s="367" customFormat="1" ht="12.75" x14ac:dyDescent="0.2">
      <c r="B145" s="374"/>
      <c r="C145" s="369"/>
      <c r="D145" s="369"/>
      <c r="E145" s="372"/>
      <c r="F145" s="372"/>
      <c r="G145" s="368"/>
      <c r="H145" s="372"/>
      <c r="I145" s="369"/>
      <c r="J145" s="371"/>
    </row>
    <row r="146" spans="1:10" s="367" customFormat="1" ht="12.75" x14ac:dyDescent="0.2">
      <c r="B146" s="368"/>
      <c r="C146" s="369"/>
      <c r="D146" s="369"/>
      <c r="E146" s="372"/>
      <c r="F146" s="372"/>
      <c r="G146" s="368"/>
      <c r="H146" s="372"/>
      <c r="I146" s="369"/>
      <c r="J146" s="371"/>
    </row>
    <row r="147" spans="1:10" x14ac:dyDescent="0.25">
      <c r="A147" s="90"/>
      <c r="B147" s="90"/>
      <c r="C147" s="90"/>
      <c r="D147" s="375"/>
      <c r="E147" s="90"/>
      <c r="F147" s="90"/>
      <c r="G147" s="90"/>
      <c r="H147" s="90"/>
      <c r="I147" s="90"/>
    </row>
    <row r="148" spans="1:10" x14ac:dyDescent="0.25">
      <c r="A148" s="90"/>
      <c r="B148" s="90"/>
      <c r="C148" s="90"/>
      <c r="D148" s="375"/>
      <c r="E148" s="90"/>
      <c r="F148" s="90"/>
      <c r="G148" s="90"/>
      <c r="H148" s="90"/>
      <c r="I148" s="90"/>
    </row>
    <row r="149" spans="1:10" x14ac:dyDescent="0.25">
      <c r="A149" s="90"/>
      <c r="B149" s="90"/>
      <c r="C149" s="90"/>
      <c r="D149" s="375"/>
      <c r="E149" s="90"/>
      <c r="F149" s="90"/>
      <c r="G149" s="90"/>
      <c r="H149" s="90"/>
      <c r="I149" s="90"/>
    </row>
    <row r="150" spans="1:10" x14ac:dyDescent="0.25">
      <c r="A150" s="90"/>
      <c r="B150" s="90"/>
      <c r="C150" s="90"/>
      <c r="D150" s="375"/>
      <c r="E150" s="90"/>
      <c r="F150" s="90"/>
      <c r="G150" s="90"/>
      <c r="H150" s="90"/>
      <c r="I150" s="90"/>
    </row>
    <row r="151" spans="1:10" x14ac:dyDescent="0.25">
      <c r="A151" s="90"/>
      <c r="B151" s="90"/>
      <c r="C151" s="90"/>
      <c r="D151" s="375"/>
      <c r="E151" s="90"/>
      <c r="F151" s="90"/>
      <c r="G151" s="90"/>
      <c r="H151" s="90"/>
      <c r="I151" s="90"/>
    </row>
    <row r="152" spans="1:10" x14ac:dyDescent="0.25">
      <c r="A152" s="90"/>
      <c r="B152" s="90"/>
      <c r="C152" s="90"/>
      <c r="D152" s="375"/>
      <c r="E152" s="90"/>
      <c r="F152" s="90"/>
      <c r="G152" s="90"/>
      <c r="H152" s="90"/>
      <c r="I152" s="90"/>
    </row>
    <row r="153" spans="1:10" x14ac:dyDescent="0.25">
      <c r="A153" s="90"/>
      <c r="B153" s="90"/>
      <c r="C153" s="90"/>
      <c r="D153" s="375"/>
      <c r="E153" s="90"/>
      <c r="F153" s="90"/>
      <c r="G153" s="90"/>
      <c r="H153" s="90"/>
      <c r="I153" s="90"/>
    </row>
    <row r="154" spans="1:10" x14ac:dyDescent="0.25">
      <c r="A154" s="90"/>
      <c r="B154" s="90"/>
      <c r="C154" s="90"/>
      <c r="D154" s="375"/>
      <c r="E154" s="90"/>
      <c r="F154" s="90"/>
      <c r="G154" s="90"/>
      <c r="H154" s="90"/>
      <c r="I154" s="90"/>
    </row>
    <row r="155" spans="1:10" x14ac:dyDescent="0.25">
      <c r="A155" s="90"/>
      <c r="B155" s="90"/>
      <c r="C155" s="90"/>
      <c r="D155" s="375"/>
      <c r="E155" s="90"/>
      <c r="F155" s="90"/>
      <c r="G155" s="90"/>
      <c r="H155" s="90"/>
      <c r="I155" s="90"/>
    </row>
    <row r="156" spans="1:10" x14ac:dyDescent="0.25">
      <c r="A156" s="90"/>
      <c r="B156" s="90"/>
      <c r="C156" s="90"/>
      <c r="D156" s="375"/>
      <c r="E156" s="90"/>
      <c r="F156" s="90"/>
      <c r="G156" s="90"/>
      <c r="H156" s="90"/>
      <c r="I156" s="90"/>
    </row>
    <row r="157" spans="1:10" x14ac:dyDescent="0.25">
      <c r="A157" s="90"/>
      <c r="B157" s="90"/>
      <c r="C157" s="90"/>
      <c r="D157" s="375"/>
      <c r="E157" s="90"/>
      <c r="F157" s="90"/>
      <c r="G157" s="90"/>
      <c r="H157" s="90"/>
      <c r="I157" s="90"/>
    </row>
    <row r="158" spans="1:10" x14ac:dyDescent="0.25">
      <c r="A158" s="90"/>
      <c r="B158" s="90"/>
      <c r="C158" s="90"/>
      <c r="D158" s="375"/>
      <c r="E158" s="90"/>
      <c r="F158" s="90"/>
      <c r="G158" s="90"/>
      <c r="H158" s="90"/>
      <c r="I158" s="90"/>
    </row>
    <row r="159" spans="1:10" x14ac:dyDescent="0.25">
      <c r="A159" s="90"/>
      <c r="B159" s="90"/>
      <c r="C159" s="90"/>
      <c r="D159" s="375"/>
      <c r="E159" s="90"/>
      <c r="F159" s="90"/>
      <c r="G159" s="90"/>
      <c r="H159" s="90"/>
      <c r="I159" s="90"/>
    </row>
    <row r="160" spans="1:10" x14ac:dyDescent="0.25">
      <c r="A160" s="90"/>
      <c r="B160" s="90"/>
      <c r="C160" s="90"/>
      <c r="D160" s="375"/>
      <c r="E160" s="90"/>
      <c r="F160" s="90"/>
      <c r="G160" s="90"/>
      <c r="H160" s="90"/>
      <c r="I160" s="90"/>
    </row>
    <row r="161" spans="1:9" x14ac:dyDescent="0.25">
      <c r="A161" s="90"/>
      <c r="B161" s="90"/>
      <c r="C161" s="90"/>
      <c r="D161" s="375"/>
      <c r="E161" s="90"/>
      <c r="F161" s="90"/>
      <c r="G161" s="90"/>
      <c r="H161" s="90"/>
      <c r="I161" s="90"/>
    </row>
    <row r="162" spans="1:9" x14ac:dyDescent="0.25">
      <c r="A162" s="90"/>
      <c r="B162" s="90"/>
      <c r="C162" s="90"/>
      <c r="D162" s="375"/>
      <c r="E162" s="90"/>
      <c r="F162" s="90"/>
      <c r="G162" s="90"/>
      <c r="H162" s="90"/>
      <c r="I162" s="90"/>
    </row>
    <row r="163" spans="1:9" x14ac:dyDescent="0.25">
      <c r="A163" s="90"/>
      <c r="B163" s="90"/>
      <c r="C163" s="90"/>
      <c r="D163" s="375"/>
      <c r="E163" s="90"/>
      <c r="F163" s="90"/>
      <c r="G163" s="90"/>
      <c r="H163" s="90"/>
      <c r="I163" s="90"/>
    </row>
    <row r="164" spans="1:9" x14ac:dyDescent="0.25">
      <c r="A164" s="90"/>
      <c r="B164" s="90"/>
      <c r="C164" s="90"/>
      <c r="D164" s="375"/>
      <c r="E164" s="90"/>
      <c r="F164" s="90"/>
      <c r="G164" s="90"/>
      <c r="H164" s="90"/>
      <c r="I164" s="90"/>
    </row>
    <row r="165" spans="1:9" x14ac:dyDescent="0.25">
      <c r="A165" s="90"/>
      <c r="B165" s="90"/>
      <c r="C165" s="90"/>
      <c r="D165" s="375"/>
      <c r="E165" s="90"/>
      <c r="F165" s="90"/>
      <c r="G165" s="90"/>
      <c r="H165" s="90"/>
      <c r="I165" s="90"/>
    </row>
    <row r="166" spans="1:9" x14ac:dyDescent="0.25">
      <c r="A166" s="90"/>
      <c r="B166" s="90"/>
      <c r="C166" s="90"/>
      <c r="D166" s="375"/>
      <c r="E166" s="90"/>
      <c r="F166" s="90"/>
      <c r="G166" s="90"/>
      <c r="H166" s="90"/>
      <c r="I166" s="90"/>
    </row>
    <row r="167" spans="1:9" x14ac:dyDescent="0.25">
      <c r="A167" s="90"/>
      <c r="B167" s="90"/>
      <c r="C167" s="90"/>
      <c r="D167" s="375"/>
      <c r="E167" s="90"/>
      <c r="F167" s="90"/>
      <c r="G167" s="90"/>
      <c r="H167" s="90"/>
      <c r="I167" s="90"/>
    </row>
    <row r="168" spans="1:9" x14ac:dyDescent="0.25">
      <c r="A168" s="90"/>
      <c r="B168" s="90"/>
      <c r="C168" s="90"/>
      <c r="D168" s="375"/>
      <c r="E168" s="90"/>
      <c r="F168" s="90"/>
      <c r="G168" s="90"/>
      <c r="H168" s="90"/>
      <c r="I168" s="90"/>
    </row>
    <row r="169" spans="1:9" x14ac:dyDescent="0.25">
      <c r="A169" s="90"/>
      <c r="B169" s="90"/>
      <c r="C169" s="90"/>
      <c r="D169" s="375"/>
      <c r="E169" s="90"/>
      <c r="F169" s="90"/>
      <c r="G169" s="90"/>
      <c r="H169" s="90"/>
      <c r="I169" s="90"/>
    </row>
  </sheetData>
  <mergeCells count="33">
    <mergeCell ref="B46:E46"/>
    <mergeCell ref="B1:I1"/>
    <mergeCell ref="A2:I2"/>
    <mergeCell ref="A3:I3"/>
    <mergeCell ref="B4:F4"/>
    <mergeCell ref="A5:A6"/>
    <mergeCell ref="B5:B6"/>
    <mergeCell ref="C5:F5"/>
    <mergeCell ref="G5:G6"/>
    <mergeCell ref="H5:H6"/>
    <mergeCell ref="I5:I6"/>
    <mergeCell ref="B7:E7"/>
    <mergeCell ref="B15:E15"/>
    <mergeCell ref="B23:E23"/>
    <mergeCell ref="B31:E31"/>
    <mergeCell ref="B44:E44"/>
    <mergeCell ref="B117:E117"/>
    <mergeCell ref="B54:E54"/>
    <mergeCell ref="B56:E56"/>
    <mergeCell ref="B60:E60"/>
    <mergeCell ref="B65:E65"/>
    <mergeCell ref="B67:E67"/>
    <mergeCell ref="B80:E80"/>
    <mergeCell ref="B84:E84"/>
    <mergeCell ref="B87:E87"/>
    <mergeCell ref="B94:E94"/>
    <mergeCell ref="B104:E104"/>
    <mergeCell ref="B106:E106"/>
    <mergeCell ref="B127:E127"/>
    <mergeCell ref="B134:E134"/>
    <mergeCell ref="B136:E136"/>
    <mergeCell ref="B137:E137"/>
    <mergeCell ref="B140:C14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4"/>
  <sheetViews>
    <sheetView topLeftCell="A73" workbookViewId="0">
      <selection activeCell="L76" sqref="L76"/>
    </sheetView>
  </sheetViews>
  <sheetFormatPr defaultRowHeight="15" x14ac:dyDescent="0.25"/>
  <cols>
    <col min="1" max="1" width="9.140625" style="515"/>
    <col min="9" max="9" width="10.85546875" customWidth="1"/>
  </cols>
  <sheetData>
    <row r="1" spans="3:26" x14ac:dyDescent="0.25">
      <c r="K1" s="307"/>
      <c r="L1" s="387" t="s">
        <v>113</v>
      </c>
      <c r="M1" s="516"/>
    </row>
    <row r="2" spans="3:26" x14ac:dyDescent="0.25">
      <c r="K2" s="82" t="s">
        <v>114</v>
      </c>
      <c r="L2" s="387"/>
      <c r="M2" s="84">
        <v>1.75</v>
      </c>
    </row>
    <row r="3" spans="3:26" x14ac:dyDescent="0.25">
      <c r="K3" s="82" t="s">
        <v>564</v>
      </c>
      <c r="L3" s="83"/>
      <c r="M3" s="84">
        <v>4</v>
      </c>
    </row>
    <row r="4" spans="3:26" x14ac:dyDescent="0.25">
      <c r="K4" s="85"/>
      <c r="L4" s="517"/>
      <c r="M4" s="87"/>
    </row>
    <row r="7" spans="3:26" x14ac:dyDescent="0.25">
      <c r="C7" s="93" t="str">
        <f>Design!$B$1</f>
        <v>CPWS SCHEME TO                                                                                                       DISTRICT</v>
      </c>
      <c r="D7" s="93"/>
      <c r="E7" s="518"/>
      <c r="F7" s="93"/>
      <c r="G7" s="93"/>
      <c r="H7" s="95"/>
      <c r="I7" s="519"/>
    </row>
    <row r="8" spans="3:26" x14ac:dyDescent="0.25">
      <c r="G8" s="90"/>
      <c r="H8" s="90"/>
      <c r="I8" s="90"/>
    </row>
    <row r="12" spans="3:26" x14ac:dyDescent="0.25">
      <c r="C12" s="97"/>
      <c r="D12" s="97"/>
      <c r="E12" s="97"/>
      <c r="F12" s="97"/>
      <c r="V12" s="520"/>
      <c r="W12" s="520"/>
    </row>
    <row r="13" spans="3:26" x14ac:dyDescent="0.25">
      <c r="U13" s="102"/>
      <c r="V13" s="520"/>
      <c r="W13" s="520"/>
      <c r="X13" s="97"/>
      <c r="Y13" s="97"/>
      <c r="Z13" s="97"/>
    </row>
    <row r="14" spans="3:26" x14ac:dyDescent="0.25">
      <c r="K14" s="105"/>
      <c r="L14" s="105"/>
      <c r="U14" s="97"/>
      <c r="V14" s="520"/>
      <c r="W14" s="520"/>
      <c r="X14" s="97"/>
      <c r="Y14" s="97"/>
      <c r="Z14" s="97"/>
    </row>
    <row r="15" spans="3:26" x14ac:dyDescent="0.25">
      <c r="K15" s="105"/>
      <c r="L15" s="105"/>
      <c r="U15" s="97"/>
      <c r="V15" s="520"/>
      <c r="W15" s="520"/>
      <c r="X15" s="97"/>
      <c r="Y15" s="97"/>
      <c r="Z15" s="97"/>
    </row>
    <row r="16" spans="3:26" x14ac:dyDescent="0.25">
      <c r="E16" s="167">
        <f>+E24+0.3</f>
        <v>4.3</v>
      </c>
      <c r="S16" s="107"/>
      <c r="U16" s="102"/>
      <c r="V16" s="520"/>
      <c r="W16" s="520"/>
      <c r="X16" s="97"/>
      <c r="Y16" s="97"/>
      <c r="Z16" s="97"/>
    </row>
    <row r="17" spans="1:26" x14ac:dyDescent="0.25">
      <c r="A17" s="515" t="s">
        <v>121</v>
      </c>
      <c r="C17" s="108">
        <f>((INT(((SQRT(((J16*25+2.5)*(((E24+2*C24+0.3)*0.5)^2)*0.1875)*865.05))*0.001)*20))*0.05)+0.1+0.05</f>
        <v>0.15000000000000002</v>
      </c>
      <c r="U17" s="109"/>
      <c r="V17" s="520"/>
      <c r="W17" s="520"/>
      <c r="X17" s="97"/>
      <c r="Y17" s="97"/>
      <c r="Z17" s="110" t="s">
        <v>122</v>
      </c>
    </row>
    <row r="18" spans="1:26" x14ac:dyDescent="0.25">
      <c r="C18" s="97"/>
      <c r="D18" s="111"/>
      <c r="F18" s="97"/>
      <c r="G18" s="97"/>
      <c r="H18" s="97"/>
    </row>
    <row r="19" spans="1:26" x14ac:dyDescent="0.25">
      <c r="A19" s="521" t="s">
        <v>565</v>
      </c>
      <c r="B19" s="113"/>
      <c r="C19" s="102">
        <v>0.3</v>
      </c>
      <c r="D19" s="97"/>
      <c r="E19" s="97"/>
      <c r="F19" s="97"/>
      <c r="G19" s="114"/>
      <c r="H19" s="97"/>
    </row>
    <row r="20" spans="1:26" x14ac:dyDescent="0.25">
      <c r="D20" s="97"/>
      <c r="G20" s="97"/>
      <c r="H20" s="97"/>
      <c r="L20" s="115"/>
      <c r="O20" s="107"/>
      <c r="P20" s="116"/>
      <c r="Q20" s="117"/>
    </row>
    <row r="21" spans="1:26" x14ac:dyDescent="0.25">
      <c r="D21" s="97"/>
      <c r="E21" s="97"/>
      <c r="F21" s="97"/>
      <c r="G21" s="97"/>
      <c r="H21" s="97"/>
      <c r="M21" s="118"/>
      <c r="P21" s="97"/>
    </row>
    <row r="22" spans="1:26" x14ac:dyDescent="0.25">
      <c r="A22" s="521" t="s">
        <v>114</v>
      </c>
      <c r="C22" s="102">
        <f>+M2</f>
        <v>1.75</v>
      </c>
      <c r="D22" s="97"/>
      <c r="E22" s="97"/>
      <c r="F22" s="97"/>
      <c r="G22" s="97"/>
      <c r="H22" s="97"/>
    </row>
    <row r="23" spans="1:26" x14ac:dyDescent="0.25">
      <c r="C23" s="119"/>
      <c r="D23" s="97"/>
      <c r="E23" s="97"/>
      <c r="F23" s="97"/>
      <c r="G23" s="97"/>
      <c r="H23" s="97"/>
      <c r="K23" s="113"/>
      <c r="L23" s="120"/>
    </row>
    <row r="24" spans="1:26" x14ac:dyDescent="0.25">
      <c r="A24" s="423" t="s">
        <v>123</v>
      </c>
      <c r="B24" s="113"/>
      <c r="C24" s="102">
        <v>0.1</v>
      </c>
      <c r="D24" s="97"/>
      <c r="E24" s="121">
        <f>+M3</f>
        <v>4</v>
      </c>
      <c r="F24" s="97"/>
      <c r="G24" s="97"/>
      <c r="H24" s="97"/>
      <c r="K24" s="107"/>
      <c r="L24" s="122"/>
    </row>
    <row r="25" spans="1:26" x14ac:dyDescent="0.25">
      <c r="A25" s="423"/>
      <c r="B25" s="113"/>
      <c r="C25" s="119"/>
      <c r="D25" s="97"/>
      <c r="E25" s="97"/>
      <c r="F25" s="97"/>
      <c r="G25" s="97"/>
      <c r="H25" s="97"/>
      <c r="I25" t="s">
        <v>566</v>
      </c>
      <c r="K25" s="107"/>
      <c r="L25" s="122"/>
    </row>
    <row r="26" spans="1:26" x14ac:dyDescent="0.25">
      <c r="A26" s="423" t="s">
        <v>567</v>
      </c>
      <c r="B26" s="113"/>
      <c r="C26" s="123">
        <v>0.15</v>
      </c>
      <c r="D26" s="97"/>
      <c r="E26" s="97"/>
      <c r="F26" s="97"/>
      <c r="G26" s="124">
        <v>0.3</v>
      </c>
      <c r="H26" s="97"/>
      <c r="K26" s="107"/>
      <c r="L26" s="122"/>
    </row>
    <row r="27" spans="1:26" x14ac:dyDescent="0.25">
      <c r="A27" s="423"/>
      <c r="B27" s="113"/>
      <c r="C27" s="113"/>
      <c r="D27" s="97"/>
      <c r="E27" s="97"/>
      <c r="F27" s="97"/>
      <c r="G27" s="97"/>
      <c r="H27" s="97"/>
      <c r="I27" s="522">
        <v>0.6</v>
      </c>
      <c r="J27" s="125"/>
      <c r="K27" s="107"/>
      <c r="L27" s="122"/>
    </row>
    <row r="28" spans="1:26" x14ac:dyDescent="0.25">
      <c r="A28" s="521" t="s">
        <v>568</v>
      </c>
      <c r="B28" s="113"/>
      <c r="C28" s="109">
        <f>+C24+0.05</f>
        <v>0.15000000000000002</v>
      </c>
      <c r="D28" s="97"/>
      <c r="E28" s="97"/>
      <c r="F28" s="97"/>
      <c r="G28" s="97"/>
      <c r="H28" s="97"/>
    </row>
    <row r="29" spans="1:26" x14ac:dyDescent="0.25">
      <c r="C29" s="119"/>
      <c r="D29" s="97"/>
      <c r="E29" s="97"/>
      <c r="F29" s="97"/>
      <c r="G29" s="97"/>
      <c r="H29" s="113" t="s">
        <v>124</v>
      </c>
      <c r="I29" s="126">
        <v>0.3</v>
      </c>
    </row>
    <row r="30" spans="1:26" x14ac:dyDescent="0.25">
      <c r="C30" s="97"/>
      <c r="D30" s="97"/>
      <c r="E30" s="119">
        <f>+(E24+2*C24+2*G26)</f>
        <v>4.8</v>
      </c>
      <c r="F30" s="97"/>
      <c r="G30" s="97"/>
      <c r="H30" s="113" t="s">
        <v>125</v>
      </c>
      <c r="I30" s="126">
        <v>0.3</v>
      </c>
    </row>
    <row r="32" spans="1:26" x14ac:dyDescent="0.25">
      <c r="E32" s="523" t="s">
        <v>569</v>
      </c>
      <c r="F32" s="524"/>
      <c r="G32" s="90"/>
    </row>
    <row r="33" spans="1:9" x14ac:dyDescent="0.25">
      <c r="E33" s="90"/>
      <c r="F33" s="90"/>
    </row>
    <row r="36" spans="1:9" x14ac:dyDescent="0.25">
      <c r="A36" s="2135" t="s">
        <v>570</v>
      </c>
      <c r="B36" s="2136"/>
      <c r="C36" s="2137"/>
      <c r="D36" s="525">
        <f>+ROUNDDOWN(PI()*(E24^2)*0.25*(C22-C26-C19),0)</f>
        <v>16</v>
      </c>
      <c r="E36" t="s">
        <v>20</v>
      </c>
    </row>
    <row r="37" spans="1:9" x14ac:dyDescent="0.25">
      <c r="A37" s="2138" t="s">
        <v>571</v>
      </c>
      <c r="B37" s="2139"/>
      <c r="C37" s="2140"/>
      <c r="D37" s="525">
        <f>+ROUNDDOWN(PI()*(E24^2)*0.25*(C22-C19),0)</f>
        <v>18</v>
      </c>
      <c r="E37" t="s">
        <v>20</v>
      </c>
    </row>
    <row r="38" spans="1:9" x14ac:dyDescent="0.25">
      <c r="A38" s="515" t="s">
        <v>127</v>
      </c>
      <c r="D38" t="s">
        <v>572</v>
      </c>
    </row>
    <row r="39" spans="1:9" x14ac:dyDescent="0.25">
      <c r="A39" s="515" t="s">
        <v>129</v>
      </c>
      <c r="D39" t="s">
        <v>130</v>
      </c>
    </row>
    <row r="40" spans="1:9" x14ac:dyDescent="0.25">
      <c r="A40" s="526" t="s">
        <v>131</v>
      </c>
    </row>
    <row r="41" spans="1:9" x14ac:dyDescent="0.25">
      <c r="A41" s="526" t="s">
        <v>132</v>
      </c>
    </row>
    <row r="45" spans="1:9" x14ac:dyDescent="0.25">
      <c r="A45" s="527"/>
      <c r="B45" s="132"/>
      <c r="C45" s="132"/>
      <c r="D45" s="132"/>
      <c r="E45" s="132"/>
      <c r="F45" s="132"/>
      <c r="G45" s="132"/>
      <c r="H45" s="132"/>
      <c r="I45" s="132"/>
    </row>
    <row r="46" spans="1:9" x14ac:dyDescent="0.25">
      <c r="A46" s="527"/>
      <c r="B46" s="132"/>
      <c r="C46" s="168"/>
      <c r="D46" s="135"/>
      <c r="E46" s="168"/>
      <c r="F46" s="135"/>
      <c r="G46" s="135"/>
      <c r="H46" s="135"/>
      <c r="I46" s="132"/>
    </row>
    <row r="47" spans="1:9" x14ac:dyDescent="0.25">
      <c r="A47" s="2141" t="s">
        <v>573</v>
      </c>
      <c r="B47" s="2141"/>
      <c r="C47" s="2141"/>
      <c r="D47" s="2141"/>
      <c r="E47" s="2141"/>
      <c r="F47" s="2141"/>
      <c r="G47" s="2141"/>
      <c r="H47" s="2141"/>
      <c r="I47" s="2141"/>
    </row>
    <row r="48" spans="1:9" x14ac:dyDescent="0.25">
      <c r="A48" s="528"/>
      <c r="C48" s="93" t="str">
        <f>Design!$B$1</f>
        <v>CPWS SCHEME TO                                                                                                       DISTRICT</v>
      </c>
      <c r="F48" s="137"/>
      <c r="G48" s="110"/>
      <c r="H48" s="97"/>
    </row>
    <row r="49" spans="1:9" x14ac:dyDescent="0.25">
      <c r="A49" s="529"/>
      <c r="B49" s="141"/>
      <c r="C49" s="141"/>
      <c r="D49" s="141"/>
      <c r="E49" s="141"/>
      <c r="F49" s="141"/>
      <c r="G49" s="141"/>
      <c r="H49" s="530" t="s">
        <v>136</v>
      </c>
      <c r="I49" s="143">
        <f>+I79</f>
        <v>240000</v>
      </c>
    </row>
    <row r="50" spans="1:9" x14ac:dyDescent="0.25">
      <c r="A50" s="531" t="s">
        <v>137</v>
      </c>
      <c r="B50" s="532" t="s">
        <v>138</v>
      </c>
      <c r="C50" s="533"/>
      <c r="D50" s="533"/>
      <c r="E50" s="534"/>
      <c r="F50" s="534"/>
      <c r="G50" s="535" t="s">
        <v>139</v>
      </c>
      <c r="H50" s="531" t="s">
        <v>140</v>
      </c>
      <c r="I50" s="531" t="s">
        <v>141</v>
      </c>
    </row>
    <row r="51" spans="1:9" ht="41.25" customHeight="1" x14ac:dyDescent="0.25">
      <c r="A51" s="436">
        <v>1</v>
      </c>
      <c r="B51" s="2094" t="s">
        <v>142</v>
      </c>
      <c r="C51" s="2093"/>
      <c r="D51" s="2093"/>
      <c r="E51" s="2093"/>
    </row>
    <row r="52" spans="1:9" x14ac:dyDescent="0.25">
      <c r="B52" s="105"/>
      <c r="C52" s="148" t="s">
        <v>143</v>
      </c>
      <c r="D52" s="295">
        <f>+(E24+2*C24+2*G26+2*0.6)</f>
        <v>6</v>
      </c>
      <c r="E52" s="295">
        <f>+D52</f>
        <v>6</v>
      </c>
      <c r="F52" s="295">
        <f>RAM!I40</f>
        <v>1.35</v>
      </c>
      <c r="G52" s="295">
        <f>+(22/28)*E52*D52*F52</f>
        <v>38.18571428571429</v>
      </c>
      <c r="H52" s="295">
        <f>Data!I12</f>
        <v>158.80000000000001</v>
      </c>
      <c r="I52" s="233">
        <f>+ROUND(H52*G52*0.1,0)</f>
        <v>606</v>
      </c>
    </row>
    <row r="53" spans="1:9" ht="43.5" customHeight="1" x14ac:dyDescent="0.25">
      <c r="A53" s="436">
        <v>2</v>
      </c>
      <c r="B53" s="2094" t="s">
        <v>144</v>
      </c>
      <c r="C53" s="2093"/>
      <c r="D53" s="2093"/>
      <c r="E53" s="2093"/>
    </row>
    <row r="54" spans="1:9" x14ac:dyDescent="0.25">
      <c r="C54" s="148" t="s">
        <v>143</v>
      </c>
      <c r="D54" s="295">
        <f>+D52</f>
        <v>6</v>
      </c>
      <c r="E54" s="295">
        <f>+E52</f>
        <v>6</v>
      </c>
      <c r="F54" s="295">
        <f>+I29</f>
        <v>0.3</v>
      </c>
      <c r="G54" s="295">
        <f>+(22/28)*E54*D54*F54</f>
        <v>8.4857142857142858</v>
      </c>
      <c r="H54" s="295">
        <f>Data!I44</f>
        <v>4470.5</v>
      </c>
      <c r="I54" s="233">
        <f>+ROUND(H54*G54,0)</f>
        <v>37935</v>
      </c>
    </row>
    <row r="55" spans="1:9" ht="63" customHeight="1" x14ac:dyDescent="0.25">
      <c r="A55" s="436">
        <v>3</v>
      </c>
      <c r="B55" s="2094" t="s">
        <v>145</v>
      </c>
      <c r="C55" s="2093"/>
      <c r="D55" s="2093"/>
      <c r="E55" s="2093"/>
    </row>
    <row r="56" spans="1:9" x14ac:dyDescent="0.25">
      <c r="B56" s="105"/>
      <c r="C56" s="148" t="s">
        <v>143</v>
      </c>
      <c r="D56" s="295">
        <f>+D54</f>
        <v>6</v>
      </c>
      <c r="E56" s="295">
        <f>+E54</f>
        <v>6</v>
      </c>
      <c r="F56" s="295">
        <f>+I30</f>
        <v>0.3</v>
      </c>
      <c r="G56" s="295">
        <f>+(22/28)*E56*D56*F56</f>
        <v>8.4857142857142858</v>
      </c>
      <c r="H56" s="295">
        <f>Data!I30</f>
        <v>937.7</v>
      </c>
      <c r="I56" s="233">
        <f>+ROUND(H56*G56,0)</f>
        <v>7957</v>
      </c>
    </row>
    <row r="57" spans="1:9" ht="54" customHeight="1" x14ac:dyDescent="0.25">
      <c r="A57" s="436">
        <v>4</v>
      </c>
      <c r="B57" s="2092" t="s">
        <v>574</v>
      </c>
      <c r="C57" s="2093"/>
      <c r="D57" s="2093"/>
      <c r="E57" s="2093"/>
      <c r="F57" s="154"/>
      <c r="G57" s="154"/>
      <c r="I57" s="378"/>
    </row>
    <row r="58" spans="1:9" x14ac:dyDescent="0.25">
      <c r="C58" s="148" t="s">
        <v>143</v>
      </c>
      <c r="D58" s="295">
        <f>+D56</f>
        <v>6</v>
      </c>
      <c r="E58" s="295">
        <f>+E56</f>
        <v>6</v>
      </c>
      <c r="F58" s="295">
        <f>+C28</f>
        <v>0.15000000000000002</v>
      </c>
      <c r="G58" s="295">
        <f>+(22/28)*E58*D58*F58</f>
        <v>4.2428571428571438</v>
      </c>
      <c r="H58" s="295">
        <f>Data!I423</f>
        <v>9199.4</v>
      </c>
      <c r="I58" s="233">
        <f>+ROUND(H58*G58,0)</f>
        <v>39032</v>
      </c>
    </row>
    <row r="59" spans="1:9" ht="58.5" customHeight="1" x14ac:dyDescent="0.25">
      <c r="A59" s="436">
        <v>5</v>
      </c>
      <c r="B59" s="2092" t="s">
        <v>575</v>
      </c>
      <c r="C59" s="2093"/>
      <c r="D59" s="2093"/>
      <c r="E59" s="2093"/>
    </row>
    <row r="60" spans="1:9" x14ac:dyDescent="0.25">
      <c r="B60" s="105"/>
      <c r="C60" s="153" t="s">
        <v>147</v>
      </c>
      <c r="D60" s="295">
        <f>+E24+C24</f>
        <v>4.0999999999999996</v>
      </c>
      <c r="E60" s="295">
        <f>+C18+C22</f>
        <v>1.75</v>
      </c>
      <c r="F60" s="295">
        <f>+C24</f>
        <v>0.1</v>
      </c>
      <c r="G60" s="295">
        <f>+(22/7)*D60*E60*F60</f>
        <v>2.2549999999999999</v>
      </c>
      <c r="H60" s="295">
        <f>Data!I509</f>
        <v>22010.799999999999</v>
      </c>
      <c r="I60" s="233">
        <f>+ROUND(H60*G60,0)</f>
        <v>49634</v>
      </c>
    </row>
    <row r="61" spans="1:9" ht="65.25" customHeight="1" x14ac:dyDescent="0.25">
      <c r="A61" s="436">
        <v>6</v>
      </c>
      <c r="B61" s="2092" t="str">
        <f>+CONCATENATE("M30 grade concrete using 20 mm HBG metal including cost and conveyance of all the materials,but excluding the cost of the steel etc complete for Top Slab with- ",C17," m Thckness")</f>
        <v>M30 grade concrete using 20 mm HBG metal including cost and conveyance of all the materials,but excluding the cost of the steel etc complete for Top Slab with- 0.15 m Thckness</v>
      </c>
      <c r="C61" s="2093"/>
      <c r="D61" s="2093"/>
      <c r="E61" s="2093"/>
      <c r="F61" s="154"/>
      <c r="G61" s="154"/>
      <c r="I61" s="378"/>
    </row>
    <row r="62" spans="1:9" x14ac:dyDescent="0.25">
      <c r="D62" s="148" t="s">
        <v>143</v>
      </c>
      <c r="E62" s="295">
        <f>+E16</f>
        <v>4.3</v>
      </c>
      <c r="F62" s="295">
        <f>+E62</f>
        <v>4.3</v>
      </c>
      <c r="G62" s="295">
        <f>+PI()*E62^2*0.25</f>
        <v>14.522012041218817</v>
      </c>
      <c r="H62" s="295">
        <f>Data!I517</f>
        <v>13422</v>
      </c>
      <c r="I62" s="233">
        <f>+ROUND(H62*G62*0.1,0)</f>
        <v>19491</v>
      </c>
    </row>
    <row r="63" spans="1:9" ht="49.5" customHeight="1" x14ac:dyDescent="0.25">
      <c r="A63" s="436">
        <v>7</v>
      </c>
      <c r="B63" s="2094" t="s">
        <v>576</v>
      </c>
      <c r="C63" s="2093"/>
      <c r="D63" s="2093"/>
      <c r="E63" s="2093"/>
    </row>
    <row r="64" spans="1:9" x14ac:dyDescent="0.25">
      <c r="B64" s="536" t="s">
        <v>577</v>
      </c>
      <c r="D64" s="148" t="s">
        <v>143</v>
      </c>
      <c r="E64" s="295">
        <f>+E24</f>
        <v>4</v>
      </c>
      <c r="F64" s="295">
        <f>+E64</f>
        <v>4</v>
      </c>
      <c r="G64" s="295">
        <f>+(0.785714285714286)*F64*E64</f>
        <v>12.571428571428577</v>
      </c>
      <c r="H64" s="295"/>
      <c r="I64" s="378"/>
    </row>
    <row r="65" spans="1:9" x14ac:dyDescent="0.25">
      <c r="B65" s="536" t="s">
        <v>149</v>
      </c>
      <c r="D65" s="148" t="s">
        <v>143</v>
      </c>
      <c r="E65" s="295">
        <f>+E16</f>
        <v>4.3</v>
      </c>
      <c r="F65" s="295">
        <f>+E65</f>
        <v>4.3</v>
      </c>
      <c r="G65" s="295">
        <f>+(0.785714285714286)*E65*F65</f>
        <v>14.527857142857147</v>
      </c>
      <c r="H65" s="295"/>
      <c r="I65" s="378"/>
    </row>
    <row r="66" spans="1:9" x14ac:dyDescent="0.25">
      <c r="B66" s="536" t="s">
        <v>578</v>
      </c>
      <c r="D66" s="153" t="s">
        <v>147</v>
      </c>
      <c r="E66" s="295">
        <f>+E24</f>
        <v>4</v>
      </c>
      <c r="F66" s="295">
        <f>+C22</f>
        <v>1.75</v>
      </c>
      <c r="G66" s="295">
        <f>+(22/7)*E66*C22</f>
        <v>22</v>
      </c>
      <c r="H66" s="295"/>
    </row>
    <row r="67" spans="1:9" x14ac:dyDescent="0.25">
      <c r="D67" s="154"/>
      <c r="E67" s="295"/>
      <c r="F67" s="295"/>
      <c r="G67" s="537">
        <f>SUM(G64:G66)</f>
        <v>49.099285714285728</v>
      </c>
      <c r="H67" s="295">
        <f>Data!H233</f>
        <v>1619.7</v>
      </c>
      <c r="I67" s="233">
        <f>+ROUND(H67*G67*0.1,0)</f>
        <v>7953</v>
      </c>
    </row>
    <row r="68" spans="1:9" ht="60" customHeight="1" x14ac:dyDescent="0.25">
      <c r="A68" s="436">
        <v>8</v>
      </c>
      <c r="B68" s="2094" t="s">
        <v>151</v>
      </c>
      <c r="C68" s="2093"/>
      <c r="D68" s="2093"/>
      <c r="E68" s="2093"/>
      <c r="F68" s="154"/>
      <c r="G68" s="154"/>
      <c r="H68" s="154"/>
      <c r="I68" s="378"/>
    </row>
    <row r="69" spans="1:9" x14ac:dyDescent="0.25">
      <c r="A69" s="526"/>
      <c r="B69" s="105"/>
      <c r="D69" s="153" t="s">
        <v>147</v>
      </c>
      <c r="E69" s="295">
        <f>+(E24+2*C24)</f>
        <v>4.2</v>
      </c>
      <c r="F69" s="295">
        <f>+C22</f>
        <v>1.75</v>
      </c>
      <c r="G69" s="295">
        <f>+(3.14285714285714)*E69*F69</f>
        <v>23.09999999999998</v>
      </c>
      <c r="H69" s="295">
        <f>Data!I670</f>
        <v>1491.9</v>
      </c>
      <c r="I69" s="233">
        <f>+ROUND(H69*G69*0.1,0)</f>
        <v>3446</v>
      </c>
    </row>
    <row r="70" spans="1:9" ht="63" customHeight="1" x14ac:dyDescent="0.25">
      <c r="A70" s="436">
        <v>9</v>
      </c>
      <c r="B70" s="2094" t="s">
        <v>306</v>
      </c>
      <c r="C70" s="2093"/>
      <c r="D70" s="2093"/>
      <c r="E70" s="2093"/>
    </row>
    <row r="71" spans="1:9" x14ac:dyDescent="0.25">
      <c r="B71" s="536" t="s">
        <v>185</v>
      </c>
      <c r="D71" s="153" t="s">
        <v>147</v>
      </c>
      <c r="E71" s="295">
        <f>+(E24+2*C24)</f>
        <v>4.2</v>
      </c>
      <c r="F71" s="295">
        <f>+C22</f>
        <v>1.75</v>
      </c>
      <c r="G71" s="295">
        <f>+(3.14285714285714)*E71*F71</f>
        <v>23.09999999999998</v>
      </c>
      <c r="H71" s="295"/>
      <c r="I71" s="378"/>
    </row>
    <row r="72" spans="1:9" x14ac:dyDescent="0.25">
      <c r="B72" s="536" t="s">
        <v>579</v>
      </c>
      <c r="D72" s="148" t="s">
        <v>143</v>
      </c>
      <c r="E72" s="295">
        <f>+E62</f>
        <v>4.3</v>
      </c>
      <c r="F72" s="295">
        <f>+E72</f>
        <v>4.3</v>
      </c>
      <c r="G72" s="295">
        <f>+PI()*E72^2*0.25</f>
        <v>14.522012041218817</v>
      </c>
      <c r="H72" s="295"/>
      <c r="I72" s="378"/>
    </row>
    <row r="73" spans="1:9" x14ac:dyDescent="0.25">
      <c r="C73" s="105"/>
      <c r="E73" s="295"/>
      <c r="F73" s="295"/>
      <c r="G73" s="537">
        <f>SUM(G71:G72)</f>
        <v>37.622012041218795</v>
      </c>
      <c r="H73" s="295">
        <f>Data!I679</f>
        <v>1202.7</v>
      </c>
      <c r="I73" s="233">
        <f>+ROUND(H73*G73*0.1,0)</f>
        <v>4525</v>
      </c>
    </row>
    <row r="74" spans="1:9" ht="48.75" customHeight="1" x14ac:dyDescent="0.25">
      <c r="A74" s="436">
        <v>10</v>
      </c>
      <c r="B74" s="2092" t="s">
        <v>156</v>
      </c>
      <c r="C74" s="2093"/>
      <c r="D74" s="2093"/>
      <c r="E74" s="2093"/>
      <c r="F74" s="154"/>
      <c r="G74" s="154"/>
      <c r="H74" s="154"/>
      <c r="I74" s="378"/>
    </row>
    <row r="75" spans="1:9" x14ac:dyDescent="0.25">
      <c r="A75" s="526"/>
      <c r="B75" s="105"/>
      <c r="G75" s="538">
        <f>+(G58+G60+G62*C17)*0.085</f>
        <v>0.73747351066839717</v>
      </c>
      <c r="H75" s="295">
        <f>Data!H327</f>
        <v>60670.400000000001</v>
      </c>
      <c r="I75" s="233">
        <f>+ROUND(H75*G75,0)</f>
        <v>44743</v>
      </c>
    </row>
    <row r="76" spans="1:9" ht="27.75" customHeight="1" x14ac:dyDescent="0.25">
      <c r="A76" s="515">
        <v>11</v>
      </c>
      <c r="B76" s="536" t="s">
        <v>580</v>
      </c>
      <c r="D76" t="s">
        <v>100</v>
      </c>
      <c r="E76" t="s">
        <v>2161</v>
      </c>
      <c r="H76" s="515" t="s">
        <v>581</v>
      </c>
      <c r="I76" s="539">
        <v>3364</v>
      </c>
    </row>
    <row r="77" spans="1:9" ht="27.75" customHeight="1" x14ac:dyDescent="0.25">
      <c r="A77" s="515">
        <v>12</v>
      </c>
      <c r="B77" s="536" t="s">
        <v>582</v>
      </c>
      <c r="H77" s="515" t="s">
        <v>581</v>
      </c>
      <c r="I77" s="540">
        <v>15000</v>
      </c>
    </row>
    <row r="78" spans="1:9" ht="27.75" customHeight="1" x14ac:dyDescent="0.25">
      <c r="A78" s="515">
        <v>13</v>
      </c>
      <c r="B78" s="536" t="s">
        <v>583</v>
      </c>
      <c r="H78" s="515"/>
      <c r="I78" s="233">
        <f>+I79-SUM(I51:I77)</f>
        <v>6314</v>
      </c>
    </row>
    <row r="79" spans="1:9" ht="27.75" customHeight="1" x14ac:dyDescent="0.25">
      <c r="H79" s="527" t="s">
        <v>23</v>
      </c>
      <c r="I79" s="165">
        <f>((INT(SUM(I51:I77)*0.0001))*10000)+10000</f>
        <v>240000</v>
      </c>
    </row>
    <row r="80" spans="1:9" x14ac:dyDescent="0.25">
      <c r="C80" s="105"/>
      <c r="D80" s="154"/>
      <c r="E80" s="154"/>
      <c r="F80" s="154"/>
      <c r="G80" s="154"/>
      <c r="H80" s="154"/>
    </row>
    <row r="81" spans="1:9" x14ac:dyDescent="0.25">
      <c r="A81" s="526"/>
      <c r="B81" s="105"/>
    </row>
    <row r="82" spans="1:9" x14ac:dyDescent="0.25">
      <c r="B82" s="541"/>
    </row>
    <row r="83" spans="1:9" x14ac:dyDescent="0.25">
      <c r="B83" s="105"/>
    </row>
    <row r="84" spans="1:9" x14ac:dyDescent="0.25">
      <c r="B84" s="105"/>
      <c r="D84" s="105"/>
    </row>
    <row r="85" spans="1:9" x14ac:dyDescent="0.25">
      <c r="B85" s="105"/>
    </row>
    <row r="86" spans="1:9" x14ac:dyDescent="0.25">
      <c r="B86" s="105"/>
      <c r="F86" s="542"/>
      <c r="G86" s="150"/>
      <c r="H86" s="154"/>
      <c r="I86" s="378"/>
    </row>
    <row r="87" spans="1:9" x14ac:dyDescent="0.25">
      <c r="A87" s="526"/>
      <c r="B87" s="105"/>
    </row>
    <row r="88" spans="1:9" x14ac:dyDescent="0.25">
      <c r="B88" s="541"/>
    </row>
    <row r="89" spans="1:9" x14ac:dyDescent="0.25">
      <c r="F89" s="542"/>
      <c r="G89" s="150"/>
      <c r="H89" s="154"/>
      <c r="I89" s="378"/>
    </row>
    <row r="90" spans="1:9" x14ac:dyDescent="0.25">
      <c r="B90" s="105"/>
    </row>
    <row r="91" spans="1:9" x14ac:dyDescent="0.25">
      <c r="B91" s="105"/>
      <c r="D91" s="120"/>
    </row>
    <row r="92" spans="1:9" x14ac:dyDescent="0.25">
      <c r="F92" s="542"/>
      <c r="G92" s="150"/>
      <c r="I92" s="378"/>
    </row>
    <row r="93" spans="1:9" x14ac:dyDescent="0.25">
      <c r="A93" s="526"/>
      <c r="B93" s="105"/>
    </row>
    <row r="94" spans="1:9" x14ac:dyDescent="0.25">
      <c r="G94" s="154"/>
      <c r="I94" s="378"/>
    </row>
  </sheetData>
  <mergeCells count="13">
    <mergeCell ref="B55:E55"/>
    <mergeCell ref="A36:C36"/>
    <mergeCell ref="A37:C37"/>
    <mergeCell ref="A47:I47"/>
    <mergeCell ref="B51:E51"/>
    <mergeCell ref="B53:E53"/>
    <mergeCell ref="B74:E74"/>
    <mergeCell ref="B57:E57"/>
    <mergeCell ref="B59:E59"/>
    <mergeCell ref="B61:E61"/>
    <mergeCell ref="B63:E63"/>
    <mergeCell ref="B68:E68"/>
    <mergeCell ref="B70:E70"/>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6"/>
  <sheetViews>
    <sheetView topLeftCell="A70" workbookViewId="0">
      <selection activeCell="E76" sqref="E76"/>
    </sheetView>
  </sheetViews>
  <sheetFormatPr defaultRowHeight="15" x14ac:dyDescent="0.25"/>
  <cols>
    <col min="1" max="1" width="9.140625" style="515"/>
    <col min="9" max="9" width="10.42578125" customWidth="1"/>
  </cols>
  <sheetData>
    <row r="2" spans="1:16" x14ac:dyDescent="0.25">
      <c r="C2" s="93" t="str">
        <f>Design!$B$1</f>
        <v>CPWS SCHEME TO                                                                                                       DISTRICT</v>
      </c>
      <c r="D2" s="93"/>
      <c r="E2" s="543"/>
      <c r="F2" s="93"/>
      <c r="G2" s="93"/>
      <c r="H2" s="93"/>
      <c r="I2" s="519"/>
    </row>
    <row r="3" spans="1:16" x14ac:dyDescent="0.25">
      <c r="G3" s="90"/>
      <c r="H3" s="90"/>
      <c r="I3" s="90"/>
    </row>
    <row r="4" spans="1:16" x14ac:dyDescent="0.25">
      <c r="G4" s="90"/>
      <c r="H4" s="90"/>
      <c r="I4" s="90"/>
      <c r="J4" s="83"/>
      <c r="K4" s="387" t="s">
        <v>113</v>
      </c>
      <c r="L4" s="516"/>
    </row>
    <row r="5" spans="1:16" x14ac:dyDescent="0.25">
      <c r="J5" s="82" t="s">
        <v>114</v>
      </c>
      <c r="K5" s="387"/>
      <c r="L5" s="84">
        <v>3</v>
      </c>
    </row>
    <row r="6" spans="1:16" x14ac:dyDescent="0.25">
      <c r="J6" s="82" t="s">
        <v>564</v>
      </c>
      <c r="K6" s="83"/>
      <c r="L6" s="84">
        <v>6</v>
      </c>
    </row>
    <row r="7" spans="1:16" x14ac:dyDescent="0.25">
      <c r="C7" s="97"/>
      <c r="D7" s="97"/>
      <c r="E7" s="97"/>
      <c r="F7" s="97"/>
      <c r="J7" s="85" t="s">
        <v>584</v>
      </c>
      <c r="K7" s="517"/>
      <c r="L7" s="87">
        <v>30</v>
      </c>
    </row>
    <row r="8" spans="1:16" x14ac:dyDescent="0.25">
      <c r="A8" s="536" t="s">
        <v>585</v>
      </c>
      <c r="C8" s="102">
        <v>0.1</v>
      </c>
      <c r="D8" s="544"/>
      <c r="E8" s="544"/>
      <c r="F8" s="97"/>
      <c r="G8" s="97"/>
      <c r="H8" s="97"/>
    </row>
    <row r="9" spans="1:16" x14ac:dyDescent="0.25">
      <c r="C9" s="97"/>
      <c r="D9" s="544"/>
      <c r="E9" s="544"/>
      <c r="F9" s="97"/>
      <c r="G9" s="97"/>
      <c r="H9" s="97"/>
      <c r="K9" s="105"/>
      <c r="L9" s="105"/>
    </row>
    <row r="10" spans="1:16" x14ac:dyDescent="0.25">
      <c r="C10" s="97"/>
      <c r="D10" s="544"/>
      <c r="E10" s="545">
        <f>+(E19/6)</f>
        <v>1</v>
      </c>
      <c r="F10" s="97"/>
      <c r="G10" s="97"/>
      <c r="H10" s="97"/>
      <c r="K10" s="105"/>
      <c r="L10" s="105"/>
    </row>
    <row r="11" spans="1:16" x14ac:dyDescent="0.25">
      <c r="A11" s="546" t="s">
        <v>586</v>
      </c>
      <c r="C11" s="109">
        <f>+(C19+0.05)</f>
        <v>0.15000000000000002</v>
      </c>
      <c r="D11" s="544"/>
      <c r="E11" s="544"/>
      <c r="F11" s="97"/>
      <c r="G11" s="97"/>
      <c r="H11" s="97"/>
    </row>
    <row r="12" spans="1:16" x14ac:dyDescent="0.25">
      <c r="C12" s="109">
        <f>+((INT(((L8*F15)*(F15-E10)*(1000)*(E19*0.5)*(1/((2*F15+E10)*1.2))-(L8*F15)*(F15-E10)*(1000)*(E19*0.5)*13*(1/150)*(1/(2*F15+E10)))/((C19*1000+50)*1000)*10))*0.1)+0.15</f>
        <v>0.15</v>
      </c>
      <c r="D12" s="97"/>
      <c r="E12" s="97"/>
      <c r="F12" s="97"/>
      <c r="G12" s="97"/>
      <c r="H12" s="110" t="s">
        <v>122</v>
      </c>
    </row>
    <row r="13" spans="1:16" x14ac:dyDescent="0.25">
      <c r="C13" s="97"/>
      <c r="D13" s="111"/>
      <c r="F13" s="97"/>
      <c r="G13" s="97"/>
      <c r="H13" s="97"/>
    </row>
    <row r="14" spans="1:16" x14ac:dyDescent="0.25">
      <c r="A14" s="546" t="s">
        <v>565</v>
      </c>
      <c r="B14" s="113"/>
      <c r="C14" s="102">
        <v>0.3</v>
      </c>
      <c r="D14" s="97"/>
      <c r="E14" s="97"/>
      <c r="F14" s="97"/>
      <c r="G14" s="114"/>
      <c r="H14" s="97"/>
      <c r="O14" s="90"/>
      <c r="P14" s="90"/>
    </row>
    <row r="15" spans="1:16" x14ac:dyDescent="0.25">
      <c r="D15" s="97"/>
      <c r="E15" s="116" t="s">
        <v>587</v>
      </c>
      <c r="F15" s="117">
        <f>+((E19^2)*0.25+E10^2)/(2*E10)</f>
        <v>5</v>
      </c>
      <c r="G15" s="97"/>
      <c r="H15" s="97"/>
      <c r="L15" s="115"/>
      <c r="O15" s="175" t="s">
        <v>122</v>
      </c>
      <c r="P15" s="100"/>
    </row>
    <row r="16" spans="1:16" x14ac:dyDescent="0.25">
      <c r="D16" s="97"/>
      <c r="E16" s="97"/>
      <c r="F16" s="97"/>
      <c r="G16" s="97"/>
      <c r="H16" s="97"/>
      <c r="M16" s="118"/>
      <c r="O16" s="90"/>
      <c r="P16" s="100"/>
    </row>
    <row r="17" spans="1:12" x14ac:dyDescent="0.25">
      <c r="A17" s="546" t="s">
        <v>114</v>
      </c>
      <c r="C17" s="102">
        <f>+L5</f>
        <v>3</v>
      </c>
      <c r="D17" s="97"/>
      <c r="E17" s="97"/>
      <c r="F17" s="97"/>
      <c r="G17" s="97"/>
      <c r="H17" s="97"/>
    </row>
    <row r="18" spans="1:12" x14ac:dyDescent="0.25">
      <c r="C18" s="119"/>
      <c r="D18" s="97"/>
      <c r="E18" s="97"/>
      <c r="F18" s="97"/>
      <c r="G18" s="97"/>
      <c r="H18" s="97"/>
      <c r="K18" s="113"/>
      <c r="L18" s="120"/>
    </row>
    <row r="19" spans="1:12" x14ac:dyDescent="0.25">
      <c r="A19" s="334" t="s">
        <v>123</v>
      </c>
      <c r="B19" s="113"/>
      <c r="C19" s="102">
        <f>((INT(((83.33333*(C17)*0.5*E19-12*(C17)*0.5*E19)*(1/10000))*20))*0.05)+0.05</f>
        <v>0.1</v>
      </c>
      <c r="D19" s="97"/>
      <c r="E19" s="121">
        <f>+L6</f>
        <v>6</v>
      </c>
      <c r="F19" s="97"/>
      <c r="G19" s="97"/>
      <c r="H19" s="97"/>
      <c r="K19" s="107"/>
      <c r="L19" s="122"/>
    </row>
    <row r="20" spans="1:12" x14ac:dyDescent="0.25">
      <c r="A20" s="423"/>
      <c r="B20" s="113"/>
      <c r="C20" s="119"/>
      <c r="D20" s="97"/>
      <c r="E20" s="97"/>
      <c r="F20" s="97"/>
      <c r="G20" s="97"/>
      <c r="H20" s="97"/>
      <c r="I20" t="s">
        <v>566</v>
      </c>
      <c r="K20" s="107"/>
      <c r="L20" s="122"/>
    </row>
    <row r="21" spans="1:12" x14ac:dyDescent="0.25">
      <c r="A21" s="334" t="s">
        <v>567</v>
      </c>
      <c r="B21" s="113"/>
      <c r="C21" s="123">
        <v>0.15</v>
      </c>
      <c r="D21" s="97"/>
      <c r="E21" s="97"/>
      <c r="F21" s="97"/>
      <c r="G21" s="124">
        <v>0.3</v>
      </c>
      <c r="H21" s="97"/>
      <c r="K21" s="107"/>
      <c r="L21" s="122"/>
    </row>
    <row r="22" spans="1:12" x14ac:dyDescent="0.25">
      <c r="A22" s="423"/>
      <c r="B22" s="113"/>
      <c r="C22" s="113"/>
      <c r="D22" s="97"/>
      <c r="E22" s="97"/>
      <c r="F22" s="97"/>
      <c r="G22" s="97"/>
      <c r="H22" s="97"/>
      <c r="I22" s="522">
        <v>0.6</v>
      </c>
      <c r="J22" s="125"/>
      <c r="K22" s="107"/>
      <c r="L22" s="122"/>
    </row>
    <row r="23" spans="1:12" x14ac:dyDescent="0.25">
      <c r="A23" s="546" t="s">
        <v>568</v>
      </c>
      <c r="B23" s="113"/>
      <c r="C23" s="109">
        <v>0.3</v>
      </c>
      <c r="D23" s="97"/>
      <c r="E23" s="97"/>
      <c r="F23" s="97"/>
      <c r="G23" s="97"/>
      <c r="H23" s="97"/>
    </row>
    <row r="24" spans="1:12" x14ac:dyDescent="0.25">
      <c r="C24" s="119"/>
      <c r="D24" s="97"/>
      <c r="E24" s="97"/>
      <c r="F24" s="97"/>
      <c r="G24" s="97"/>
      <c r="H24" s="113" t="s">
        <v>124</v>
      </c>
      <c r="I24" s="126">
        <v>0.3</v>
      </c>
    </row>
    <row r="25" spans="1:12" x14ac:dyDescent="0.25">
      <c r="C25" s="97"/>
      <c r="D25" s="97"/>
      <c r="E25" s="119">
        <f>+(E19+2*C19+2*G21)</f>
        <v>6.8</v>
      </c>
      <c r="F25" s="97"/>
      <c r="G25" s="97"/>
      <c r="H25" s="113" t="s">
        <v>125</v>
      </c>
      <c r="I25" s="126">
        <v>0.3</v>
      </c>
    </row>
    <row r="27" spans="1:12" x14ac:dyDescent="0.25">
      <c r="E27" s="547" t="s">
        <v>569</v>
      </c>
      <c r="F27" s="547" t="s">
        <v>588</v>
      </c>
      <c r="G27" s="90"/>
    </row>
    <row r="31" spans="1:12" x14ac:dyDescent="0.25">
      <c r="A31" s="2135" t="s">
        <v>570</v>
      </c>
      <c r="B31" s="2136"/>
      <c r="C31" s="2137"/>
      <c r="D31" s="525">
        <f>+ROUNDDOWN(PI()*(E19^2)*0.25*(C17-C21-C14),0)</f>
        <v>72</v>
      </c>
      <c r="E31" t="s">
        <v>20</v>
      </c>
    </row>
    <row r="32" spans="1:12" x14ac:dyDescent="0.25">
      <c r="A32" s="2138" t="s">
        <v>571</v>
      </c>
      <c r="B32" s="2139"/>
      <c r="C32" s="2140"/>
      <c r="D32" s="525">
        <f>+ROUNDDOWN(PI()*(E19^2)*0.25*(C17-C14),0)</f>
        <v>76</v>
      </c>
      <c r="E32" t="s">
        <v>20</v>
      </c>
    </row>
    <row r="33" spans="1:9" x14ac:dyDescent="0.25">
      <c r="A33" s="515" t="s">
        <v>127</v>
      </c>
      <c r="D33" s="105" t="s">
        <v>278</v>
      </c>
    </row>
    <row r="34" spans="1:9" x14ac:dyDescent="0.25">
      <c r="A34" s="515" t="s">
        <v>129</v>
      </c>
      <c r="D34" t="s">
        <v>130</v>
      </c>
    </row>
    <row r="35" spans="1:9" x14ac:dyDescent="0.25">
      <c r="A35" s="526" t="s">
        <v>131</v>
      </c>
    </row>
    <row r="36" spans="1:9" x14ac:dyDescent="0.25">
      <c r="A36" s="526" t="s">
        <v>132</v>
      </c>
    </row>
    <row r="44" spans="1:9" x14ac:dyDescent="0.25">
      <c r="A44" s="527"/>
      <c r="B44" s="131"/>
      <c r="C44" s="131"/>
      <c r="D44" s="131"/>
      <c r="E44" s="131"/>
      <c r="F44" s="131"/>
      <c r="G44" s="131"/>
      <c r="H44" s="131"/>
      <c r="I44" s="131"/>
    </row>
    <row r="45" spans="1:9" x14ac:dyDescent="0.25">
      <c r="A45" s="2141" t="s">
        <v>589</v>
      </c>
      <c r="B45" s="2141"/>
      <c r="C45" s="2141"/>
      <c r="D45" s="2141"/>
      <c r="E45" s="2141"/>
      <c r="F45" s="2141"/>
      <c r="G45" s="2141"/>
      <c r="H45" s="2141"/>
      <c r="I45" s="2141"/>
    </row>
    <row r="46" spans="1:9" x14ac:dyDescent="0.25">
      <c r="A46" s="529"/>
      <c r="B46" s="548"/>
      <c r="C46" s="93" t="str">
        <f>Design!$B$1</f>
        <v>CPWS SCHEME TO                                                                                                       DISTRICT</v>
      </c>
      <c r="D46" s="548"/>
      <c r="E46" s="548"/>
      <c r="F46" s="548"/>
      <c r="G46" s="548"/>
      <c r="H46" s="142" t="s">
        <v>136</v>
      </c>
      <c r="I46" s="549">
        <f>+I79</f>
        <v>600000</v>
      </c>
    </row>
    <row r="47" spans="1:9" x14ac:dyDescent="0.25">
      <c r="A47" s="531" t="s">
        <v>137</v>
      </c>
      <c r="B47" s="532" t="s">
        <v>138</v>
      </c>
      <c r="C47" s="533"/>
      <c r="D47" s="533"/>
      <c r="E47" s="534"/>
      <c r="F47" s="534"/>
      <c r="G47" s="535" t="s">
        <v>139</v>
      </c>
      <c r="H47" s="531" t="s">
        <v>140</v>
      </c>
      <c r="I47" s="531" t="s">
        <v>141</v>
      </c>
    </row>
    <row r="48" spans="1:9" ht="43.5" customHeight="1" x14ac:dyDescent="0.25">
      <c r="A48" s="436">
        <v>1</v>
      </c>
      <c r="B48" s="2094" t="s">
        <v>142</v>
      </c>
      <c r="C48" s="2093"/>
      <c r="D48" s="2093"/>
      <c r="E48" s="2093"/>
    </row>
    <row r="49" spans="1:9" x14ac:dyDescent="0.25">
      <c r="B49" s="550"/>
      <c r="C49" s="148" t="s">
        <v>143</v>
      </c>
      <c r="D49" s="295">
        <f>+(E19+2*C19+2*G21+2*0.6)</f>
        <v>8</v>
      </c>
      <c r="E49" s="295">
        <f>+D49</f>
        <v>8</v>
      </c>
      <c r="F49" s="295">
        <f>RAM!I33</f>
        <v>1.5</v>
      </c>
      <c r="G49" s="295">
        <f>+(22/28)*E49*D49*F49</f>
        <v>75.428571428571431</v>
      </c>
      <c r="H49" s="295">
        <f>Data!I12</f>
        <v>158.80000000000001</v>
      </c>
      <c r="I49" s="233">
        <f>+ROUND(H49*G49,0)</f>
        <v>11978</v>
      </c>
    </row>
    <row r="50" spans="1:9" ht="39.75" customHeight="1" x14ac:dyDescent="0.25">
      <c r="A50" s="436">
        <v>2</v>
      </c>
      <c r="B50" s="2094" t="s">
        <v>144</v>
      </c>
      <c r="C50" s="2093"/>
      <c r="D50" s="2093"/>
      <c r="E50" s="2093"/>
    </row>
    <row r="51" spans="1:9" x14ac:dyDescent="0.25">
      <c r="C51" s="148" t="s">
        <v>143</v>
      </c>
      <c r="D51" s="295">
        <f>+D49</f>
        <v>8</v>
      </c>
      <c r="E51" s="295">
        <f>+E49</f>
        <v>8</v>
      </c>
      <c r="F51" s="295">
        <f>+I24</f>
        <v>0.3</v>
      </c>
      <c r="G51" s="295">
        <f>+(22/28)*E51*D51*F51</f>
        <v>15.085714285714285</v>
      </c>
      <c r="H51" s="295">
        <f>Data!I44</f>
        <v>4470.5</v>
      </c>
      <c r="I51" s="233">
        <f>+ROUND(H51*G51,0)</f>
        <v>67441</v>
      </c>
    </row>
    <row r="52" spans="1:9" ht="46.5" customHeight="1" x14ac:dyDescent="0.25">
      <c r="A52" s="436">
        <v>3</v>
      </c>
      <c r="B52" s="2094" t="s">
        <v>145</v>
      </c>
      <c r="C52" s="2093"/>
      <c r="D52" s="2093"/>
      <c r="E52" s="2093"/>
    </row>
    <row r="53" spans="1:9" x14ac:dyDescent="0.25">
      <c r="B53" s="105"/>
      <c r="C53" s="148" t="s">
        <v>143</v>
      </c>
      <c r="D53" s="295">
        <f>+D51</f>
        <v>8</v>
      </c>
      <c r="E53" s="295">
        <f>+E51</f>
        <v>8</v>
      </c>
      <c r="F53" s="295">
        <f>+I25</f>
        <v>0.3</v>
      </c>
      <c r="G53" s="295">
        <f>+(22/28)*E53*D53*F53</f>
        <v>15.085714285714285</v>
      </c>
      <c r="H53" s="295">
        <f>Data!I30</f>
        <v>937.7</v>
      </c>
      <c r="I53" s="233">
        <f>+ROUND(H53*G53,0)</f>
        <v>14146</v>
      </c>
    </row>
    <row r="54" spans="1:9" ht="66" customHeight="1" x14ac:dyDescent="0.25">
      <c r="A54" s="436">
        <v>4</v>
      </c>
      <c r="B54" s="2092" t="s">
        <v>590</v>
      </c>
      <c r="C54" s="2093"/>
      <c r="D54" s="2093"/>
      <c r="E54" s="2093"/>
    </row>
    <row r="55" spans="1:9" x14ac:dyDescent="0.25">
      <c r="A55" s="526"/>
      <c r="B55" s="105"/>
      <c r="C55" s="148" t="s">
        <v>143</v>
      </c>
      <c r="D55" s="295">
        <f>+D49</f>
        <v>8</v>
      </c>
      <c r="E55" s="295">
        <f>+D55</f>
        <v>8</v>
      </c>
      <c r="F55" s="295">
        <f>+C23</f>
        <v>0.3</v>
      </c>
      <c r="G55" s="295">
        <f>+(22/28)*E55*D55*F55</f>
        <v>15.085714285714285</v>
      </c>
      <c r="H55" s="295">
        <f>Data!I423</f>
        <v>9199.4</v>
      </c>
      <c r="I55" s="233">
        <f>+ROUND(H55*G55,0)</f>
        <v>138780</v>
      </c>
    </row>
    <row r="56" spans="1:9" ht="58.5" customHeight="1" x14ac:dyDescent="0.25">
      <c r="A56" s="436">
        <v>5</v>
      </c>
      <c r="B56" s="2092" t="s">
        <v>575</v>
      </c>
      <c r="C56" s="2093"/>
      <c r="D56" s="2093"/>
      <c r="E56" s="2093"/>
    </row>
    <row r="57" spans="1:9" x14ac:dyDescent="0.25">
      <c r="B57" s="105"/>
      <c r="C57" s="153" t="s">
        <v>147</v>
      </c>
      <c r="D57" s="295">
        <f>+E19+C19</f>
        <v>6.1</v>
      </c>
      <c r="E57" s="295">
        <f>+C19</f>
        <v>0.1</v>
      </c>
      <c r="F57" s="295">
        <f>+C17</f>
        <v>3</v>
      </c>
      <c r="G57" s="295">
        <f>+ROUND(PI()*D57*E57*F57,2)</f>
        <v>5.75</v>
      </c>
      <c r="H57" s="295">
        <f>Data!I485</f>
        <v>22010.799999999999</v>
      </c>
      <c r="I57" s="233">
        <f>+ROUND(H57*G57,0)</f>
        <v>126562</v>
      </c>
    </row>
    <row r="58" spans="1:9" ht="67.5" customHeight="1" x14ac:dyDescent="0.25">
      <c r="A58" s="436">
        <v>6</v>
      </c>
      <c r="B58" s="2092" t="s">
        <v>591</v>
      </c>
      <c r="C58" s="2093"/>
      <c r="D58" s="2093"/>
      <c r="E58" s="2093"/>
      <c r="G58" s="154"/>
    </row>
    <row r="59" spans="1:9" x14ac:dyDescent="0.25">
      <c r="A59" s="436"/>
      <c r="B59" s="448"/>
      <c r="C59" s="148" t="s">
        <v>592</v>
      </c>
      <c r="D59" s="295">
        <f>+F15</f>
        <v>5</v>
      </c>
      <c r="E59" s="295">
        <f>+E10</f>
        <v>1</v>
      </c>
      <c r="F59" s="295">
        <f>+C8</f>
        <v>0.1</v>
      </c>
      <c r="G59" s="295">
        <f>2*(3.14285714285714)*D59*E59*F59</f>
        <v>3.1428571428571406</v>
      </c>
      <c r="H59" s="295">
        <f>Data!I493</f>
        <v>14403.5</v>
      </c>
      <c r="I59" s="233">
        <f>+ROUND(H59*G59,0)</f>
        <v>45268</v>
      </c>
    </row>
    <row r="60" spans="1:9" ht="51" customHeight="1" x14ac:dyDescent="0.25">
      <c r="A60" s="436">
        <v>7</v>
      </c>
      <c r="B60" s="2092" t="s">
        <v>593</v>
      </c>
      <c r="C60" s="2093"/>
      <c r="D60" s="2093"/>
      <c r="E60" s="2093"/>
    </row>
    <row r="61" spans="1:9" x14ac:dyDescent="0.25">
      <c r="C61" s="153" t="s">
        <v>147</v>
      </c>
      <c r="D61" s="295">
        <f>+E19+C11</f>
        <v>6.15</v>
      </c>
      <c r="E61" s="295">
        <f>+C12</f>
        <v>0.15</v>
      </c>
      <c r="F61" s="295">
        <f>+C11</f>
        <v>0.15000000000000002</v>
      </c>
      <c r="G61" s="295">
        <f>+(3.14285714285714)*D61*E61*F61</f>
        <v>0.43489285714285686</v>
      </c>
      <c r="H61" s="295">
        <f>Data!I501</f>
        <v>10975</v>
      </c>
      <c r="I61" s="233">
        <f>+ROUND(H61*G61,0)</f>
        <v>4773</v>
      </c>
    </row>
    <row r="62" spans="1:9" ht="54" customHeight="1" x14ac:dyDescent="0.25">
      <c r="A62" s="436">
        <v>8</v>
      </c>
      <c r="B62" s="2094" t="s">
        <v>576</v>
      </c>
      <c r="C62" s="2093"/>
      <c r="D62" s="2093"/>
      <c r="E62" s="2093"/>
    </row>
    <row r="63" spans="1:9" x14ac:dyDescent="0.25">
      <c r="B63" s="536" t="s">
        <v>577</v>
      </c>
      <c r="D63" s="148" t="s">
        <v>143</v>
      </c>
      <c r="E63" s="295">
        <f>+E25</f>
        <v>6.8</v>
      </c>
      <c r="F63" s="295">
        <f>+E63</f>
        <v>6.8</v>
      </c>
      <c r="G63" s="295">
        <f>+(0.785714285714286)*F63*E63</f>
        <v>36.331428571428589</v>
      </c>
      <c r="H63" s="295"/>
      <c r="I63" s="233"/>
    </row>
    <row r="64" spans="1:9" x14ac:dyDescent="0.25">
      <c r="B64" s="130" t="s">
        <v>594</v>
      </c>
      <c r="D64" s="148" t="s">
        <v>592</v>
      </c>
      <c r="E64" s="295">
        <f>+F15</f>
        <v>5</v>
      </c>
      <c r="F64" s="295">
        <f>+E10</f>
        <v>1</v>
      </c>
      <c r="G64" s="295">
        <f>+(3.14285714285714)*E64*F64</f>
        <v>15.714285714285701</v>
      </c>
      <c r="H64" s="295"/>
      <c r="I64" s="233"/>
    </row>
    <row r="65" spans="1:9" x14ac:dyDescent="0.25">
      <c r="A65" s="526"/>
      <c r="B65" s="536" t="s">
        <v>578</v>
      </c>
      <c r="D65" s="153" t="s">
        <v>147</v>
      </c>
      <c r="E65" s="295">
        <f>+E19</f>
        <v>6</v>
      </c>
      <c r="F65" s="295">
        <f>+C17</f>
        <v>3</v>
      </c>
      <c r="G65" s="551">
        <f>+(22/7)*E65*C17</f>
        <v>56.571428571428569</v>
      </c>
      <c r="H65" s="129"/>
      <c r="I65" s="129"/>
    </row>
    <row r="66" spans="1:9" x14ac:dyDescent="0.25">
      <c r="E66" s="129"/>
      <c r="F66" s="552" t="s">
        <v>23</v>
      </c>
      <c r="G66" s="551">
        <f>SUM(G63:G65)</f>
        <v>108.61714285714285</v>
      </c>
      <c r="H66" s="295">
        <f>Data!H233</f>
        <v>1619.7</v>
      </c>
      <c r="I66" s="233">
        <f>+ROUND(H66*G66*0.1,0)</f>
        <v>17593</v>
      </c>
    </row>
    <row r="67" spans="1:9" ht="37.5" customHeight="1" x14ac:dyDescent="0.25">
      <c r="A67" s="436">
        <v>9</v>
      </c>
      <c r="B67" s="2094" t="s">
        <v>151</v>
      </c>
      <c r="C67" s="2093"/>
      <c r="D67" s="2093"/>
      <c r="E67" s="2093"/>
      <c r="F67" s="129"/>
      <c r="G67" s="129"/>
      <c r="H67" s="129"/>
      <c r="I67" s="129"/>
    </row>
    <row r="68" spans="1:9" x14ac:dyDescent="0.25">
      <c r="B68" s="105"/>
      <c r="D68" s="153" t="s">
        <v>147</v>
      </c>
      <c r="E68" s="295">
        <f>+(E19+2*C19)</f>
        <v>6.2</v>
      </c>
      <c r="F68" s="295">
        <f>+C17</f>
        <v>3</v>
      </c>
      <c r="G68" s="295">
        <f>+(3.14285714285714)*E68*F68</f>
        <v>58.457142857142813</v>
      </c>
      <c r="H68" s="295">
        <f>Data!I670</f>
        <v>1491.9</v>
      </c>
      <c r="I68" s="233">
        <f>+ROUND(H68*G68*0.1,0)</f>
        <v>8721</v>
      </c>
    </row>
    <row r="69" spans="1:9" ht="48.75" customHeight="1" x14ac:dyDescent="0.25">
      <c r="A69" s="436">
        <v>10</v>
      </c>
      <c r="B69" s="2094" t="s">
        <v>306</v>
      </c>
      <c r="C69" s="2093"/>
      <c r="D69" s="2093"/>
      <c r="E69" s="2093"/>
    </row>
    <row r="70" spans="1:9" x14ac:dyDescent="0.25">
      <c r="B70" t="s">
        <v>185</v>
      </c>
      <c r="D70" s="153" t="s">
        <v>147</v>
      </c>
      <c r="E70" s="295">
        <f>+(E19+2*C19)</f>
        <v>6.2</v>
      </c>
      <c r="F70" s="295">
        <f>+C17</f>
        <v>3</v>
      </c>
      <c r="G70" s="295">
        <f>+(3.14285714285714)*E70*F70</f>
        <v>58.457142857142813</v>
      </c>
    </row>
    <row r="71" spans="1:9" x14ac:dyDescent="0.25">
      <c r="A71" s="526"/>
      <c r="B71" s="550" t="s">
        <v>595</v>
      </c>
      <c r="D71" s="153" t="s">
        <v>147</v>
      </c>
      <c r="E71" s="295">
        <f>+(E19+2*C11)</f>
        <v>6.3</v>
      </c>
      <c r="F71" s="295">
        <f>+(C12+(C11-C19)+C11)</f>
        <v>0.35000000000000003</v>
      </c>
      <c r="G71" s="295">
        <f>+(3.14285714285714)*E71*F71</f>
        <v>6.9299999999999944</v>
      </c>
    </row>
    <row r="72" spans="1:9" x14ac:dyDescent="0.25">
      <c r="B72" s="550" t="s">
        <v>596</v>
      </c>
      <c r="D72" s="148" t="s">
        <v>592</v>
      </c>
      <c r="E72" s="295">
        <f>+F15</f>
        <v>5</v>
      </c>
      <c r="F72" s="295">
        <f>+E10</f>
        <v>1</v>
      </c>
      <c r="G72" s="295">
        <f>+(2*(3.14285714285714)*E72*F72)</f>
        <v>31.428571428571402</v>
      </c>
    </row>
    <row r="73" spans="1:9" x14ac:dyDescent="0.25">
      <c r="B73" s="105"/>
      <c r="F73" s="542"/>
      <c r="G73" s="553">
        <f>SUM(G70:G72)</f>
        <v>96.815714285714208</v>
      </c>
      <c r="H73" s="295">
        <f>Data!I679</f>
        <v>1202.7</v>
      </c>
      <c r="I73" s="233">
        <f>+ROUND(H73*G73*0.1,0)</f>
        <v>11644</v>
      </c>
    </row>
    <row r="74" spans="1:9" ht="51" customHeight="1" x14ac:dyDescent="0.25">
      <c r="A74" s="436">
        <v>11</v>
      </c>
      <c r="B74" s="2092" t="s">
        <v>156</v>
      </c>
      <c r="C74" s="2093"/>
      <c r="D74" s="2093"/>
      <c r="E74" s="2093"/>
    </row>
    <row r="75" spans="1:9" x14ac:dyDescent="0.25">
      <c r="B75" s="105"/>
      <c r="G75" s="554">
        <f>+(G55+G57+G59+G61)*0.085</f>
        <v>2.0751444642857142</v>
      </c>
      <c r="H75" s="154">
        <f>Data!H327</f>
        <v>60670.400000000001</v>
      </c>
      <c r="I75" s="233">
        <f>+ROUND(H75*G75,0)</f>
        <v>125900</v>
      </c>
    </row>
    <row r="76" spans="1:9" ht="32.25" customHeight="1" x14ac:dyDescent="0.25">
      <c r="A76" s="515">
        <v>12</v>
      </c>
      <c r="B76" s="129" t="s">
        <v>580</v>
      </c>
      <c r="D76" t="s">
        <v>100</v>
      </c>
      <c r="H76" s="527" t="s">
        <v>581</v>
      </c>
      <c r="I76" s="555">
        <v>3364</v>
      </c>
    </row>
    <row r="77" spans="1:9" ht="32.25" customHeight="1" x14ac:dyDescent="0.25">
      <c r="A77" s="526">
        <v>13</v>
      </c>
      <c r="B77" s="130" t="s">
        <v>582</v>
      </c>
      <c r="H77" s="527" t="s">
        <v>581</v>
      </c>
      <c r="I77" s="556">
        <v>15000</v>
      </c>
    </row>
    <row r="78" spans="1:9" ht="32.25" customHeight="1" x14ac:dyDescent="0.25">
      <c r="A78" s="515">
        <v>14</v>
      </c>
      <c r="B78" s="130" t="s">
        <v>583</v>
      </c>
      <c r="H78" s="129"/>
      <c r="I78" s="557">
        <f>+I79-SUM(I48:I77)</f>
        <v>8830</v>
      </c>
    </row>
    <row r="79" spans="1:9" ht="32.25" customHeight="1" x14ac:dyDescent="0.25">
      <c r="H79" s="527" t="s">
        <v>23</v>
      </c>
      <c r="I79" s="165">
        <f>((INT(SUM(I48:I77)*0.00004))*25000)+25000</f>
        <v>600000</v>
      </c>
    </row>
    <row r="80" spans="1:9" x14ac:dyDescent="0.25">
      <c r="B80" s="105"/>
    </row>
    <row r="81" spans="1:9" x14ac:dyDescent="0.25">
      <c r="B81" s="550"/>
      <c r="D81" s="120"/>
    </row>
    <row r="82" spans="1:9" x14ac:dyDescent="0.25">
      <c r="B82" s="550"/>
      <c r="D82" s="105"/>
    </row>
    <row r="83" spans="1:9" x14ac:dyDescent="0.25">
      <c r="B83" s="105"/>
    </row>
    <row r="85" spans="1:9" x14ac:dyDescent="0.25">
      <c r="A85" s="526"/>
      <c r="B85" s="105"/>
    </row>
    <row r="86" spans="1:9" x14ac:dyDescent="0.25">
      <c r="I86" s="378"/>
    </row>
  </sheetData>
  <mergeCells count="14">
    <mergeCell ref="B52:E52"/>
    <mergeCell ref="A31:C31"/>
    <mergeCell ref="A32:C32"/>
    <mergeCell ref="A45:I45"/>
    <mergeCell ref="B48:E48"/>
    <mergeCell ref="B50:E50"/>
    <mergeCell ref="B69:E69"/>
    <mergeCell ref="B74:E74"/>
    <mergeCell ref="B54:E54"/>
    <mergeCell ref="B56:E56"/>
    <mergeCell ref="B58:E58"/>
    <mergeCell ref="B60:E60"/>
    <mergeCell ref="B62:E62"/>
    <mergeCell ref="B67:E67"/>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A66" workbookViewId="0">
      <selection activeCell="B72" sqref="B72:E72"/>
    </sheetView>
  </sheetViews>
  <sheetFormatPr defaultRowHeight="15" x14ac:dyDescent="0.25"/>
  <cols>
    <col min="9" max="9" width="12.140625" customWidth="1"/>
  </cols>
  <sheetData>
    <row r="1" spans="1:17" x14ac:dyDescent="0.25">
      <c r="F1" s="90"/>
      <c r="G1" s="90"/>
      <c r="H1" s="90"/>
      <c r="I1" s="90"/>
    </row>
    <row r="2" spans="1:17" x14ac:dyDescent="0.25">
      <c r="F2" s="90"/>
      <c r="G2" s="90"/>
      <c r="H2" s="90"/>
      <c r="K2" s="656"/>
      <c r="L2" s="656" t="s">
        <v>113</v>
      </c>
      <c r="M2" s="656"/>
    </row>
    <row r="3" spans="1:17" x14ac:dyDescent="0.25">
      <c r="F3" s="90"/>
      <c r="G3" s="90"/>
      <c r="H3" s="90"/>
      <c r="K3" s="656" t="s">
        <v>665</v>
      </c>
      <c r="L3" s="656"/>
      <c r="M3" s="657">
        <v>2.2000000000000002</v>
      </c>
      <c r="O3" s="658">
        <v>1.75</v>
      </c>
      <c r="P3" s="658">
        <v>2</v>
      </c>
      <c r="Q3" s="658">
        <v>2.2000000000000002</v>
      </c>
    </row>
    <row r="4" spans="1:17" x14ac:dyDescent="0.25">
      <c r="F4" s="90"/>
      <c r="G4" s="90"/>
      <c r="K4" s="656" t="s">
        <v>666</v>
      </c>
      <c r="L4" s="656"/>
      <c r="M4" s="657">
        <v>5</v>
      </c>
      <c r="O4" s="658">
        <v>3</v>
      </c>
      <c r="P4" s="658">
        <v>4</v>
      </c>
      <c r="Q4" s="658">
        <v>5</v>
      </c>
    </row>
    <row r="5" spans="1:17" x14ac:dyDescent="0.25">
      <c r="F5" s="90"/>
      <c r="G5" s="90"/>
      <c r="K5" s="659" t="s">
        <v>667</v>
      </c>
      <c r="L5" s="656"/>
      <c r="M5" s="657" t="s">
        <v>668</v>
      </c>
      <c r="O5" s="660" t="s">
        <v>669</v>
      </c>
      <c r="P5" s="660" t="s">
        <v>670</v>
      </c>
      <c r="Q5" s="660" t="s">
        <v>671</v>
      </c>
    </row>
    <row r="6" spans="1:17" x14ac:dyDescent="0.25">
      <c r="F6" s="90"/>
      <c r="G6" s="90"/>
      <c r="K6" s="661" t="s">
        <v>672</v>
      </c>
      <c r="L6" s="662" t="str">
        <f>+IF(O21&gt;N21,"OK","Revise req")</f>
        <v>Revise req</v>
      </c>
      <c r="M6" s="657">
        <v>3</v>
      </c>
    </row>
    <row r="7" spans="1:17" x14ac:dyDescent="0.25">
      <c r="A7" s="129"/>
      <c r="B7" s="534" t="str">
        <f>Design!$B$1</f>
        <v>CPWS SCHEME TO                                                                                                       DISTRICT</v>
      </c>
      <c r="C7" s="534"/>
      <c r="D7" s="663"/>
      <c r="E7" s="534"/>
      <c r="F7" s="534"/>
      <c r="G7" s="534"/>
      <c r="H7" s="129"/>
      <c r="I7" s="129"/>
      <c r="K7" s="664" t="s">
        <v>33</v>
      </c>
      <c r="L7" s="413"/>
      <c r="M7" s="665">
        <v>500</v>
      </c>
    </row>
    <row r="8" spans="1:17" x14ac:dyDescent="0.25">
      <c r="A8" s="129"/>
      <c r="B8" s="129"/>
      <c r="C8" s="129"/>
      <c r="D8" s="139"/>
      <c r="E8" s="129"/>
      <c r="F8" s="129"/>
      <c r="G8" s="129"/>
      <c r="H8" s="129"/>
      <c r="I8" s="129"/>
    </row>
    <row r="9" spans="1:17" x14ac:dyDescent="0.25">
      <c r="A9" s="129"/>
      <c r="B9" s="129"/>
      <c r="C9" s="129"/>
      <c r="D9" s="129"/>
      <c r="E9" s="129"/>
      <c r="F9" s="129"/>
      <c r="G9" s="129"/>
      <c r="H9" s="129"/>
      <c r="I9" s="129"/>
    </row>
    <row r="10" spans="1:17" x14ac:dyDescent="0.25">
      <c r="A10" s="129"/>
      <c r="B10" s="129"/>
      <c r="C10" s="129"/>
      <c r="D10" s="129"/>
      <c r="E10" s="129"/>
      <c r="F10" s="129"/>
      <c r="G10" s="129"/>
      <c r="H10" s="129"/>
      <c r="I10" s="129"/>
    </row>
    <row r="11" spans="1:17" x14ac:dyDescent="0.25">
      <c r="A11" s="129"/>
      <c r="B11" s="129"/>
      <c r="C11" s="129"/>
      <c r="D11" s="129"/>
      <c r="E11" s="129"/>
      <c r="F11" s="129"/>
      <c r="G11" s="129"/>
      <c r="H11" s="129"/>
      <c r="I11" s="129"/>
    </row>
    <row r="12" spans="1:17" x14ac:dyDescent="0.25">
      <c r="A12" s="129"/>
      <c r="B12" s="129"/>
      <c r="C12" s="139"/>
      <c r="D12" s="139"/>
      <c r="E12" s="139"/>
      <c r="F12" s="139"/>
      <c r="G12" s="139"/>
      <c r="H12" s="139"/>
      <c r="I12" s="129"/>
    </row>
    <row r="13" spans="1:17" x14ac:dyDescent="0.25">
      <c r="A13" s="129"/>
      <c r="B13" s="129"/>
      <c r="C13" s="129"/>
      <c r="D13" s="129"/>
      <c r="E13" s="129"/>
      <c r="F13" s="129"/>
      <c r="G13" s="129"/>
      <c r="H13" s="139"/>
      <c r="I13" s="129"/>
    </row>
    <row r="14" spans="1:17" x14ac:dyDescent="0.25">
      <c r="A14" s="129"/>
      <c r="B14" s="129"/>
      <c r="C14" s="129"/>
      <c r="D14" s="129"/>
      <c r="E14" s="129"/>
      <c r="F14" s="129"/>
      <c r="G14" s="129"/>
      <c r="H14" s="139"/>
      <c r="I14" s="129"/>
    </row>
    <row r="15" spans="1:17" x14ac:dyDescent="0.25">
      <c r="A15" s="129"/>
      <c r="B15" s="129"/>
      <c r="C15" s="129"/>
      <c r="D15" s="129"/>
      <c r="E15" s="129"/>
      <c r="F15" s="129"/>
      <c r="G15" s="129"/>
      <c r="H15" s="139"/>
      <c r="I15" s="129"/>
    </row>
    <row r="16" spans="1:17" x14ac:dyDescent="0.25">
      <c r="A16" s="129"/>
      <c r="B16" s="129"/>
      <c r="C16" s="129"/>
      <c r="D16" s="129"/>
      <c r="E16" s="666">
        <f>+(E24+2*C24+0.3)</f>
        <v>5.5</v>
      </c>
      <c r="F16" s="129"/>
      <c r="G16" s="129"/>
      <c r="H16" s="139"/>
      <c r="I16" s="129"/>
    </row>
    <row r="17" spans="1:10" x14ac:dyDescent="0.25">
      <c r="A17" s="129" t="s">
        <v>268</v>
      </c>
      <c r="B17" s="129"/>
      <c r="C17" s="667">
        <v>0.15</v>
      </c>
      <c r="D17" s="668"/>
      <c r="E17" s="668"/>
      <c r="F17" s="668"/>
      <c r="G17" s="129"/>
      <c r="H17" s="669" t="s">
        <v>122</v>
      </c>
      <c r="I17" s="129"/>
    </row>
    <row r="18" spans="1:10" x14ac:dyDescent="0.25">
      <c r="A18" s="319" t="s">
        <v>673</v>
      </c>
      <c r="B18" s="324"/>
      <c r="C18" s="670">
        <v>0.25</v>
      </c>
      <c r="D18" s="668"/>
      <c r="E18" s="129"/>
      <c r="F18" s="429"/>
      <c r="G18" s="139"/>
      <c r="H18" s="139"/>
      <c r="I18" s="129"/>
    </row>
    <row r="19" spans="1:10" x14ac:dyDescent="0.25">
      <c r="A19" s="324" t="s">
        <v>674</v>
      </c>
      <c r="B19" s="324"/>
      <c r="C19" s="331">
        <v>0.25</v>
      </c>
      <c r="D19" s="429"/>
      <c r="E19" s="429"/>
      <c r="F19" s="429"/>
      <c r="G19" s="325" t="s">
        <v>675</v>
      </c>
      <c r="H19" s="139"/>
      <c r="I19" s="129"/>
    </row>
    <row r="20" spans="1:10" x14ac:dyDescent="0.25">
      <c r="A20" s="129"/>
      <c r="B20" s="546"/>
      <c r="C20" s="429"/>
      <c r="D20" s="429"/>
      <c r="E20" s="668"/>
      <c r="F20" s="668"/>
      <c r="G20" s="139"/>
      <c r="H20" s="139"/>
      <c r="I20" s="129"/>
    </row>
    <row r="21" spans="1:10" x14ac:dyDescent="0.25">
      <c r="A21" s="129"/>
      <c r="B21" s="129"/>
      <c r="C21" s="429"/>
      <c r="D21" s="429"/>
      <c r="E21" s="429"/>
      <c r="F21" s="429"/>
      <c r="G21" s="139"/>
      <c r="H21" s="139"/>
      <c r="I21" s="129"/>
    </row>
    <row r="22" spans="1:10" x14ac:dyDescent="0.25">
      <c r="A22" s="129" t="s">
        <v>419</v>
      </c>
      <c r="B22" s="129"/>
      <c r="C22" s="671">
        <f>M3</f>
        <v>2.2000000000000002</v>
      </c>
      <c r="D22" s="429"/>
      <c r="E22" s="429"/>
      <c r="F22" s="429"/>
      <c r="G22" s="139"/>
      <c r="H22" s="139"/>
      <c r="I22" s="129"/>
    </row>
    <row r="23" spans="1:10" x14ac:dyDescent="0.25">
      <c r="A23" s="129"/>
      <c r="B23" s="129"/>
      <c r="C23" s="429"/>
      <c r="D23" s="429"/>
      <c r="E23" s="429"/>
      <c r="F23" s="429"/>
      <c r="G23" s="139"/>
      <c r="H23" s="139"/>
      <c r="I23" s="129"/>
    </row>
    <row r="24" spans="1:10" x14ac:dyDescent="0.25">
      <c r="A24" s="129" t="s">
        <v>123</v>
      </c>
      <c r="B24" s="129"/>
      <c r="C24" s="671">
        <v>0.1</v>
      </c>
      <c r="D24" s="429"/>
      <c r="E24" s="672">
        <f>M4</f>
        <v>5</v>
      </c>
      <c r="F24" s="429"/>
      <c r="G24" s="139"/>
      <c r="H24" s="139"/>
      <c r="I24" s="129"/>
    </row>
    <row r="25" spans="1:10" x14ac:dyDescent="0.25">
      <c r="A25" s="129"/>
      <c r="B25" s="129"/>
      <c r="C25" s="429"/>
      <c r="D25" s="429"/>
      <c r="E25" s="429"/>
      <c r="F25" s="429"/>
      <c r="G25" s="139"/>
      <c r="H25" s="139"/>
      <c r="I25" s="129"/>
    </row>
    <row r="26" spans="1:10" x14ac:dyDescent="0.25">
      <c r="A26" s="319" t="s">
        <v>567</v>
      </c>
      <c r="B26" s="324"/>
      <c r="C26" s="670">
        <v>0.15</v>
      </c>
      <c r="D26" s="429"/>
      <c r="E26" s="429"/>
      <c r="F26" s="429"/>
      <c r="G26" s="429">
        <v>0.3</v>
      </c>
      <c r="H26" s="139"/>
      <c r="I26" s="129"/>
    </row>
    <row r="27" spans="1:10" x14ac:dyDescent="0.25">
      <c r="A27" s="129"/>
      <c r="B27" s="129"/>
      <c r="C27" s="129"/>
      <c r="D27" s="429"/>
      <c r="E27" s="429"/>
      <c r="F27" s="429"/>
      <c r="G27" s="139"/>
      <c r="H27" s="139"/>
      <c r="I27" s="129"/>
      <c r="J27" s="125"/>
    </row>
    <row r="28" spans="1:10" x14ac:dyDescent="0.25">
      <c r="A28" s="130" t="s">
        <v>568</v>
      </c>
      <c r="B28" s="129"/>
      <c r="C28" s="673">
        <v>0.2</v>
      </c>
      <c r="D28" s="429"/>
      <c r="E28" s="429"/>
      <c r="F28" s="429"/>
      <c r="G28" s="139"/>
      <c r="H28" s="139"/>
      <c r="I28" s="129"/>
    </row>
    <row r="29" spans="1:10" x14ac:dyDescent="0.25">
      <c r="A29" s="129"/>
      <c r="B29" s="129"/>
      <c r="C29" s="139"/>
      <c r="D29" s="139"/>
      <c r="E29" s="139"/>
      <c r="F29" s="139"/>
      <c r="G29" s="139"/>
      <c r="H29" s="546" t="str">
        <f>+IF(M5="Yes","C.C(1:3:6)","C.C(1:4:8)")</f>
        <v>C.C(1:4:8)</v>
      </c>
      <c r="I29" s="674">
        <f>+IF(M5="yes",0.45,0.3)</f>
        <v>0.3</v>
      </c>
    </row>
    <row r="30" spans="1:10" x14ac:dyDescent="0.25">
      <c r="A30" s="129"/>
      <c r="B30" s="129"/>
      <c r="C30" s="139"/>
      <c r="D30" s="139"/>
      <c r="E30" s="140">
        <f>+(E24+2*C24+2*G26)</f>
        <v>5.8</v>
      </c>
      <c r="F30" s="139"/>
      <c r="G30" s="139"/>
      <c r="H30" s="324" t="s">
        <v>125</v>
      </c>
      <c r="I30" s="674">
        <v>0.3</v>
      </c>
    </row>
    <row r="31" spans="1:10" x14ac:dyDescent="0.25">
      <c r="A31" s="129"/>
      <c r="B31" s="129"/>
      <c r="C31" s="129"/>
      <c r="D31" s="675"/>
      <c r="E31" s="676"/>
      <c r="F31" s="676"/>
      <c r="G31" s="677"/>
      <c r="H31" s="129"/>
      <c r="I31" s="129"/>
    </row>
    <row r="32" spans="1:10" x14ac:dyDescent="0.25">
      <c r="A32" s="129"/>
      <c r="B32" s="129"/>
      <c r="C32" s="129"/>
      <c r="D32" s="155"/>
      <c r="E32" s="155"/>
      <c r="F32" s="155"/>
      <c r="G32" s="155"/>
      <c r="H32" s="129"/>
      <c r="I32" s="129"/>
    </row>
    <row r="33" spans="1:9" x14ac:dyDescent="0.25">
      <c r="A33" s="412" t="s">
        <v>676</v>
      </c>
      <c r="B33" s="678"/>
      <c r="C33" s="678"/>
      <c r="D33" s="525">
        <f>+ROUNDDOWN(PI()*(E24^2)*0.25*(C22+C19-C26-C18),0)</f>
        <v>40</v>
      </c>
      <c r="E33" s="129" t="s">
        <v>20</v>
      </c>
      <c r="F33" s="129"/>
      <c r="G33" s="129"/>
      <c r="H33" s="129"/>
      <c r="I33" s="129"/>
    </row>
    <row r="34" spans="1:9" x14ac:dyDescent="0.25">
      <c r="A34" s="678" t="s">
        <v>677</v>
      </c>
      <c r="B34" s="678"/>
      <c r="C34" s="678"/>
      <c r="D34" s="525">
        <f>+ROUNDDOWN(PI()*(E24^2)*0.25*(C22+C19-C18),0)</f>
        <v>43</v>
      </c>
      <c r="E34" s="129" t="s">
        <v>20</v>
      </c>
      <c r="F34" s="129"/>
      <c r="G34" s="129"/>
      <c r="H34" s="129"/>
      <c r="I34" s="129"/>
    </row>
    <row r="35" spans="1:9" x14ac:dyDescent="0.25">
      <c r="A35" s="129" t="s">
        <v>127</v>
      </c>
      <c r="B35" s="129"/>
      <c r="C35" s="129"/>
      <c r="D35" s="129" t="s">
        <v>572</v>
      </c>
      <c r="E35" s="129"/>
      <c r="F35" s="129"/>
      <c r="G35" s="129"/>
      <c r="H35" s="129"/>
      <c r="I35" s="129"/>
    </row>
    <row r="36" spans="1:9" x14ac:dyDescent="0.25">
      <c r="A36" s="129" t="s">
        <v>129</v>
      </c>
      <c r="B36" s="129"/>
      <c r="C36" s="129"/>
      <c r="D36" s="129" t="s">
        <v>130</v>
      </c>
      <c r="E36" s="129"/>
      <c r="F36" s="129"/>
      <c r="G36" s="129"/>
      <c r="H36" s="129"/>
      <c r="I36" s="129"/>
    </row>
    <row r="37" spans="1:9" x14ac:dyDescent="0.25">
      <c r="A37" s="130" t="s">
        <v>131</v>
      </c>
      <c r="B37" s="129"/>
      <c r="C37" s="129"/>
      <c r="D37" s="129"/>
      <c r="E37" s="129"/>
      <c r="F37" s="129"/>
      <c r="G37" s="129"/>
      <c r="H37" s="129"/>
      <c r="I37" s="129"/>
    </row>
    <row r="38" spans="1:9" x14ac:dyDescent="0.25">
      <c r="A38" s="130" t="s">
        <v>132</v>
      </c>
      <c r="B38" s="129"/>
      <c r="C38" s="129"/>
      <c r="D38" s="129"/>
      <c r="E38" s="129"/>
      <c r="F38" s="129"/>
      <c r="G38" s="129"/>
      <c r="H38" s="129"/>
      <c r="I38" s="129"/>
    </row>
    <row r="39" spans="1:9" x14ac:dyDescent="0.25">
      <c r="A39" s="129"/>
      <c r="B39" s="129"/>
      <c r="C39" s="129"/>
      <c r="D39" s="129"/>
      <c r="E39" s="129"/>
      <c r="F39" s="129"/>
      <c r="G39" s="129"/>
      <c r="H39" s="129"/>
      <c r="I39" s="129"/>
    </row>
    <row r="42" spans="1:9" x14ac:dyDescent="0.25">
      <c r="A42" s="131" t="s">
        <v>678</v>
      </c>
      <c r="B42" s="131"/>
      <c r="C42" s="131"/>
      <c r="D42" s="131"/>
      <c r="E42" s="131"/>
      <c r="F42" s="131"/>
      <c r="G42" s="131"/>
      <c r="H42" s="131"/>
      <c r="I42" s="131"/>
    </row>
    <row r="43" spans="1:9" x14ac:dyDescent="0.25">
      <c r="A43" s="679" t="s">
        <v>679</v>
      </c>
      <c r="B43" s="124"/>
      <c r="C43" s="124"/>
      <c r="D43" s="124"/>
      <c r="E43" s="124"/>
      <c r="F43" s="1949">
        <f>+D33*1000</f>
        <v>40000</v>
      </c>
      <c r="G43" s="124" t="s">
        <v>77</v>
      </c>
      <c r="H43" s="124"/>
      <c r="I43" s="124"/>
    </row>
    <row r="44" spans="1:9" x14ac:dyDescent="0.25">
      <c r="A44" s="141"/>
      <c r="B44" s="93" t="str">
        <f>Design!$B$1</f>
        <v>CPWS SCHEME TO                                                                                                       DISTRICT</v>
      </c>
      <c r="C44" s="93"/>
      <c r="D44" s="543"/>
      <c r="E44" s="93"/>
      <c r="F44" s="93"/>
      <c r="G44" s="93"/>
      <c r="H44" s="681" t="s">
        <v>136</v>
      </c>
      <c r="I44" s="143">
        <f ca="1">+I74</f>
        <v>350000</v>
      </c>
    </row>
    <row r="45" spans="1:9" x14ac:dyDescent="0.25">
      <c r="A45" s="93" t="s">
        <v>400</v>
      </c>
      <c r="B45" s="547" t="s">
        <v>138</v>
      </c>
      <c r="C45" s="682"/>
      <c r="D45" s="682"/>
      <c r="E45" s="93"/>
      <c r="F45" s="93"/>
      <c r="G45" s="93" t="s">
        <v>139</v>
      </c>
      <c r="H45" s="683" t="s">
        <v>140</v>
      </c>
      <c r="I45" s="683" t="s">
        <v>141</v>
      </c>
    </row>
    <row r="46" spans="1:9" ht="41.25" customHeight="1" x14ac:dyDescent="0.25">
      <c r="A46" s="146">
        <v>1</v>
      </c>
      <c r="B46" s="2094" t="s">
        <v>142</v>
      </c>
      <c r="C46" s="2093"/>
      <c r="D46" s="2093"/>
      <c r="E46" s="2093"/>
      <c r="F46" s="95"/>
      <c r="G46" s="95"/>
      <c r="H46" s="684"/>
      <c r="I46" s="684"/>
    </row>
    <row r="47" spans="1:9" x14ac:dyDescent="0.25">
      <c r="B47" s="130" t="s">
        <v>680</v>
      </c>
      <c r="C47" s="148" t="s">
        <v>143</v>
      </c>
      <c r="D47" s="295">
        <v>6</v>
      </c>
      <c r="E47" s="295">
        <f>+D47</f>
        <v>6</v>
      </c>
      <c r="F47" s="295">
        <f>RAM!I23</f>
        <v>3</v>
      </c>
      <c r="G47" s="295">
        <f>+ROUND((22/28)*E47*D47*F47,2)</f>
        <v>84.86</v>
      </c>
      <c r="H47" s="295">
        <f>Data!I12</f>
        <v>158.80000000000001</v>
      </c>
      <c r="I47" s="233">
        <f>+ROUND(H47*G47,0)</f>
        <v>13476</v>
      </c>
    </row>
    <row r="48" spans="1:9" x14ac:dyDescent="0.25">
      <c r="B48" s="130" t="s">
        <v>681</v>
      </c>
      <c r="C48" s="148" t="s">
        <v>143</v>
      </c>
      <c r="D48" s="295">
        <v>6</v>
      </c>
      <c r="E48" s="295">
        <f>+D48</f>
        <v>6</v>
      </c>
      <c r="F48" s="295">
        <f>RAM!I24</f>
        <v>9.9999999999999645E-2</v>
      </c>
      <c r="G48" s="295">
        <f>+ROUND((22/28)*E48*D48*F48,2)</f>
        <v>2.83</v>
      </c>
      <c r="H48" s="295">
        <f>Data!I18</f>
        <v>204.2</v>
      </c>
      <c r="I48" s="233">
        <f>+ROUND(H48*G48,0)</f>
        <v>578</v>
      </c>
    </row>
    <row r="49" spans="1:9" x14ac:dyDescent="0.25">
      <c r="B49" s="130" t="s">
        <v>164</v>
      </c>
      <c r="C49" s="148" t="s">
        <v>143</v>
      </c>
      <c r="D49" s="295">
        <v>6</v>
      </c>
      <c r="E49" s="295">
        <f>+D49</f>
        <v>6</v>
      </c>
      <c r="F49" s="295">
        <f>RAM!I25</f>
        <v>0</v>
      </c>
      <c r="G49" s="295">
        <f>+ROUND((22/28)*E49*D49*F49,2)</f>
        <v>0</v>
      </c>
      <c r="H49" s="295">
        <f>Data!I23</f>
        <v>272.2</v>
      </c>
      <c r="I49" s="233">
        <f>+ROUND(H49*G49,0)</f>
        <v>0</v>
      </c>
    </row>
    <row r="50" spans="1:9" ht="42" customHeight="1" x14ac:dyDescent="0.25">
      <c r="A50" s="146">
        <v>2</v>
      </c>
      <c r="B50" s="2094" t="s">
        <v>144</v>
      </c>
      <c r="C50" s="2093"/>
      <c r="D50" s="2093"/>
      <c r="E50" s="2093"/>
    </row>
    <row r="51" spans="1:9" x14ac:dyDescent="0.25">
      <c r="B51" s="550"/>
      <c r="C51" s="148" t="s">
        <v>143</v>
      </c>
      <c r="D51" s="295">
        <f>+E30</f>
        <v>5.8</v>
      </c>
      <c r="E51" s="295">
        <f>+D51</f>
        <v>5.8</v>
      </c>
      <c r="F51" s="685">
        <f>+I29</f>
        <v>0.3</v>
      </c>
      <c r="G51" s="295">
        <f>+ROUND((22/28)*D51*D51*I29,2)</f>
        <v>7.93</v>
      </c>
      <c r="H51" s="295">
        <f>Data!I44</f>
        <v>4470.5</v>
      </c>
      <c r="I51" s="233">
        <f>+ROUND(H51*G51,0)</f>
        <v>35451</v>
      </c>
    </row>
    <row r="52" spans="1:9" ht="54" customHeight="1" x14ac:dyDescent="0.25">
      <c r="A52" s="146">
        <v>3</v>
      </c>
      <c r="B52" s="2094" t="s">
        <v>145</v>
      </c>
      <c r="C52" s="2093"/>
      <c r="D52" s="2093"/>
      <c r="E52" s="2093"/>
    </row>
    <row r="53" spans="1:9" x14ac:dyDescent="0.25">
      <c r="B53" s="105"/>
      <c r="C53" s="148" t="s">
        <v>143</v>
      </c>
      <c r="D53" s="295">
        <f>+E30</f>
        <v>5.8</v>
      </c>
      <c r="E53" s="295">
        <f>+D53</f>
        <v>5.8</v>
      </c>
      <c r="F53" s="685">
        <f>+I30</f>
        <v>0.3</v>
      </c>
      <c r="G53" s="295">
        <f>+(22/28)*D53*D53*I30</f>
        <v>7.9294285714285699</v>
      </c>
      <c r="H53" s="295">
        <f>Data!I30</f>
        <v>937.7</v>
      </c>
      <c r="I53" s="233">
        <f>+ROUND(H53*G53,0)</f>
        <v>7435</v>
      </c>
    </row>
    <row r="54" spans="1:9" ht="60" customHeight="1" x14ac:dyDescent="0.25">
      <c r="A54" s="146">
        <v>4</v>
      </c>
      <c r="B54" s="2092" t="s">
        <v>590</v>
      </c>
      <c r="C54" s="2093"/>
      <c r="D54" s="2093"/>
      <c r="E54" s="2093"/>
    </row>
    <row r="55" spans="1:9" x14ac:dyDescent="0.25">
      <c r="A55" s="105"/>
      <c r="B55" s="105"/>
      <c r="C55" s="148" t="s">
        <v>143</v>
      </c>
      <c r="D55" s="295">
        <f>+E30</f>
        <v>5.8</v>
      </c>
      <c r="E55" s="295">
        <f>+D55</f>
        <v>5.8</v>
      </c>
      <c r="F55" s="685">
        <f>+C28</f>
        <v>0.2</v>
      </c>
      <c r="G55" s="295">
        <f>+(0.785714285714286)*C28*D55*D55</f>
        <v>5.2862857142857163</v>
      </c>
      <c r="H55" s="295">
        <f>Data!I423</f>
        <v>9199.4</v>
      </c>
      <c r="I55" s="233">
        <f>+ROUND(H55*G55,0)</f>
        <v>48631</v>
      </c>
    </row>
    <row r="56" spans="1:9" ht="76.5" customHeight="1" x14ac:dyDescent="0.25">
      <c r="A56" s="146">
        <v>5</v>
      </c>
      <c r="B56" s="2092" t="s">
        <v>575</v>
      </c>
      <c r="C56" s="2093"/>
      <c r="D56" s="2093"/>
      <c r="E56" s="2093"/>
    </row>
    <row r="57" spans="1:9" x14ac:dyDescent="0.25">
      <c r="B57" s="105"/>
      <c r="C57" s="153" t="s">
        <v>147</v>
      </c>
      <c r="D57" s="295">
        <f>+E24+C24</f>
        <v>5.0999999999999996</v>
      </c>
      <c r="E57" s="295">
        <f>+C22+C19</f>
        <v>2.4500000000000002</v>
      </c>
      <c r="F57" s="685">
        <f>+C24</f>
        <v>0.1</v>
      </c>
      <c r="G57" s="295">
        <f>+ROUND((22/7)*D57*F57*E57,2)</f>
        <v>3.93</v>
      </c>
      <c r="H57" s="295">
        <f>Data!I462</f>
        <v>22010.799999999999</v>
      </c>
      <c r="I57" s="233">
        <f>+ROUND(H57*G57,0)</f>
        <v>86502</v>
      </c>
    </row>
    <row r="58" spans="1:9" ht="66" customHeight="1" x14ac:dyDescent="0.25">
      <c r="A58" s="146">
        <v>6</v>
      </c>
      <c r="B58" s="2092" t="str">
        <f>+CONCATENATE("M30 grade concrete using 20 mm HBG metal including cost and conveyance of all the materials,but excluding the cost of the steel etc complete for Top Slab with ",C17, " thickness")</f>
        <v>M30 grade concrete using 20 mm HBG metal including cost and conveyance of all the materials,but excluding the cost of the steel etc complete for Top Slab with 0.15 thickness</v>
      </c>
      <c r="C58" s="2093"/>
      <c r="D58" s="2093"/>
      <c r="E58" s="2093"/>
    </row>
    <row r="59" spans="1:9" x14ac:dyDescent="0.25">
      <c r="D59" s="148" t="s">
        <v>143</v>
      </c>
      <c r="E59" s="295">
        <f>+E16</f>
        <v>5.5</v>
      </c>
      <c r="F59" s="295">
        <f>+E59</f>
        <v>5.5</v>
      </c>
      <c r="G59" s="295">
        <f>+ROUND((0.785714285714286)*E59*F59,2)</f>
        <v>23.77</v>
      </c>
      <c r="H59" s="295">
        <f>Data!I470</f>
        <v>13422</v>
      </c>
      <c r="I59" s="233">
        <f>+ROUND(H59*G59*0.1,0)</f>
        <v>31904</v>
      </c>
    </row>
    <row r="60" spans="1:9" ht="64.5" customHeight="1" x14ac:dyDescent="0.25">
      <c r="A60" s="146">
        <v>7</v>
      </c>
      <c r="B60" s="2094" t="s">
        <v>576</v>
      </c>
      <c r="C60" s="2093"/>
      <c r="D60" s="2093"/>
      <c r="E60" s="2093"/>
    </row>
    <row r="61" spans="1:9" x14ac:dyDescent="0.25">
      <c r="B61" s="130" t="s">
        <v>682</v>
      </c>
      <c r="D61" s="148" t="s">
        <v>143</v>
      </c>
      <c r="E61" s="295">
        <f>+E16</f>
        <v>5.5</v>
      </c>
      <c r="F61" s="295">
        <f>+E16</f>
        <v>5.5</v>
      </c>
      <c r="G61" s="295">
        <f>+ROUND((22/28)*E61*F61,2)</f>
        <v>23.77</v>
      </c>
      <c r="H61" s="295"/>
      <c r="I61" s="233"/>
    </row>
    <row r="62" spans="1:9" x14ac:dyDescent="0.25">
      <c r="B62" s="130" t="s">
        <v>683</v>
      </c>
      <c r="D62" s="153" t="s">
        <v>147</v>
      </c>
      <c r="E62" s="295">
        <f>+E24</f>
        <v>5</v>
      </c>
      <c r="F62" s="295">
        <f>+C22</f>
        <v>2.2000000000000002</v>
      </c>
      <c r="G62" s="295">
        <f>+ROUND((22/7)*E62*C22,2)</f>
        <v>34.57</v>
      </c>
      <c r="H62" s="129"/>
      <c r="I62" s="233"/>
    </row>
    <row r="63" spans="1:9" x14ac:dyDescent="0.25">
      <c r="B63" s="536" t="s">
        <v>271</v>
      </c>
      <c r="D63" s="148" t="s">
        <v>143</v>
      </c>
      <c r="E63" s="295">
        <f>+E62</f>
        <v>5</v>
      </c>
      <c r="F63" s="295">
        <f>+E63</f>
        <v>5</v>
      </c>
      <c r="G63" s="551">
        <f>+ROUND((0.785714285714286)*E63*F63,2)</f>
        <v>19.64</v>
      </c>
      <c r="H63" s="295"/>
      <c r="I63" s="233"/>
    </row>
    <row r="64" spans="1:9" x14ac:dyDescent="0.25">
      <c r="B64" s="105"/>
      <c r="E64" s="295"/>
      <c r="F64" s="686" t="s">
        <v>499</v>
      </c>
      <c r="G64" s="551">
        <f>SUM(G61:G63)</f>
        <v>77.98</v>
      </c>
      <c r="H64" s="295">
        <f>Data!H233</f>
        <v>1619.7</v>
      </c>
      <c r="I64" s="233">
        <f>+ROUND(H64*G64*0.1,0)</f>
        <v>12630</v>
      </c>
    </row>
    <row r="65" spans="1:9" ht="70.5" customHeight="1" x14ac:dyDescent="0.25">
      <c r="A65" s="146">
        <v>8</v>
      </c>
      <c r="B65" s="2094" t="s">
        <v>151</v>
      </c>
      <c r="C65" s="2093"/>
      <c r="D65" s="2093"/>
      <c r="E65" s="2093"/>
    </row>
    <row r="66" spans="1:9" x14ac:dyDescent="0.25">
      <c r="B66" s="130" t="s">
        <v>684</v>
      </c>
      <c r="D66" s="153" t="s">
        <v>147</v>
      </c>
      <c r="E66" s="295">
        <f>+(E24+2*C24)</f>
        <v>5.2</v>
      </c>
      <c r="F66" s="295">
        <f>+C19</f>
        <v>0.25</v>
      </c>
      <c r="G66" s="149">
        <f>+ROUND((3.14285714285714)*E66*F66,2)</f>
        <v>4.09</v>
      </c>
      <c r="H66" s="295">
        <f>Data!I670</f>
        <v>1491.9</v>
      </c>
      <c r="I66" s="233">
        <f>+ROUND(H66*G66*0.1,0)</f>
        <v>610</v>
      </c>
    </row>
    <row r="67" spans="1:9" ht="59.25" customHeight="1" x14ac:dyDescent="0.25">
      <c r="A67" s="146">
        <v>9</v>
      </c>
      <c r="B67" s="2094" t="s">
        <v>306</v>
      </c>
      <c r="C67" s="2093"/>
      <c r="D67" s="2093"/>
      <c r="E67" s="2093"/>
      <c r="G67" s="90"/>
    </row>
    <row r="68" spans="1:9" x14ac:dyDescent="0.25">
      <c r="B68" s="105"/>
      <c r="C68" s="687"/>
      <c r="D68" s="153" t="s">
        <v>147</v>
      </c>
      <c r="E68" s="295">
        <f>+(E24+2*C24)</f>
        <v>5.2</v>
      </c>
      <c r="F68" s="295">
        <f>+C19</f>
        <v>0.25</v>
      </c>
      <c r="G68" s="149">
        <f>+(3.14285714285714)*E68*F68</f>
        <v>4.0857142857142827</v>
      </c>
      <c r="H68" s="295">
        <f>Data!I679</f>
        <v>1202.7</v>
      </c>
      <c r="I68" s="233">
        <f>+ROUND(H68*G68*0.1,0)</f>
        <v>491</v>
      </c>
    </row>
    <row r="69" spans="1:9" ht="58.5" customHeight="1" x14ac:dyDescent="0.25">
      <c r="A69" s="146">
        <v>10</v>
      </c>
      <c r="B69" s="2092" t="s">
        <v>156</v>
      </c>
      <c r="C69" s="2093"/>
      <c r="D69" s="2093"/>
      <c r="E69" s="2093"/>
    </row>
    <row r="70" spans="1:9" x14ac:dyDescent="0.25">
      <c r="A70" s="105"/>
      <c r="B70" s="105"/>
      <c r="G70" s="538">
        <f>(G55+G57+G59*0.1)*0.1</f>
        <v>1.1593285714285717</v>
      </c>
      <c r="H70" s="154">
        <f>Data!H327</f>
        <v>60670.400000000001</v>
      </c>
      <c r="I70" s="233">
        <f>+ROUND(H70*G70,0)</f>
        <v>70337</v>
      </c>
    </row>
    <row r="71" spans="1:9" ht="30" customHeight="1" x14ac:dyDescent="0.25">
      <c r="A71" s="146">
        <v>11</v>
      </c>
      <c r="B71" s="129" t="s">
        <v>580</v>
      </c>
      <c r="C71" s="129"/>
      <c r="D71" s="129" t="s">
        <v>100</v>
      </c>
      <c r="E71" s="129"/>
      <c r="F71" s="129"/>
      <c r="G71" s="129"/>
      <c r="H71" s="1950"/>
      <c r="I71" s="688">
        <v>3364</v>
      </c>
    </row>
    <row r="72" spans="1:9" ht="34.15" customHeight="1" x14ac:dyDescent="0.25">
      <c r="A72" s="146">
        <v>12</v>
      </c>
      <c r="B72" s="2142" t="str">
        <f ca="1">+CONCATENATE(+RAM!K24," Dia pipe ","2mt-",RAM!K25," ,0.9mt-",RAM!K26,",0.6mt-",RAM!K27,",Bellmouth-",RAM!K28, ",Duckfoot bend-",RAM!K29)</f>
        <v>150 Dia pipe 2mt-1 ,0.9mt-1,0.6mt-2,Bellmouth-1,Duckfoot bend-1</v>
      </c>
      <c r="C72" s="2143"/>
      <c r="D72" s="2143"/>
      <c r="E72" s="2144"/>
      <c r="F72" s="129"/>
      <c r="G72" s="129"/>
      <c r="H72" s="1950"/>
      <c r="I72" s="233">
        <f ca="1">RAM!L30</f>
        <v>21090</v>
      </c>
    </row>
    <row r="73" spans="1:9" ht="30" customHeight="1" x14ac:dyDescent="0.25">
      <c r="A73" s="146">
        <v>13</v>
      </c>
      <c r="B73" s="129" t="s">
        <v>685</v>
      </c>
      <c r="C73" s="129"/>
      <c r="D73" s="129"/>
      <c r="E73" s="129"/>
      <c r="F73" s="129"/>
      <c r="G73" s="129"/>
      <c r="H73" s="129"/>
      <c r="I73" s="557">
        <f ca="1">+I74-SUM(I47:I72)</f>
        <v>17501</v>
      </c>
    </row>
    <row r="74" spans="1:9" ht="30" customHeight="1" x14ac:dyDescent="0.25">
      <c r="B74" s="129"/>
      <c r="C74" s="129"/>
      <c r="D74" s="129"/>
      <c r="E74" s="129"/>
      <c r="F74" s="129"/>
      <c r="G74" s="129"/>
      <c r="H74" s="1950" t="s">
        <v>23</v>
      </c>
      <c r="I74" s="165">
        <f ca="1">((INT(SUM(I47:I72)*0.00004))*25000)+25000</f>
        <v>350000</v>
      </c>
    </row>
    <row r="76" spans="1:9" x14ac:dyDescent="0.25">
      <c r="B76" s="105"/>
      <c r="H76" s="154"/>
      <c r="I76" s="378"/>
    </row>
    <row r="77" spans="1:9" x14ac:dyDescent="0.25">
      <c r="A77" s="105"/>
      <c r="B77" s="105"/>
    </row>
    <row r="78" spans="1:9" x14ac:dyDescent="0.25">
      <c r="B78" s="105"/>
    </row>
    <row r="80" spans="1:9" x14ac:dyDescent="0.25">
      <c r="B80" s="105"/>
    </row>
    <row r="81" spans="1:4" x14ac:dyDescent="0.25">
      <c r="B81" s="550"/>
      <c r="D81" s="120"/>
    </row>
    <row r="82" spans="1:4" x14ac:dyDescent="0.25">
      <c r="A82" s="105"/>
      <c r="B82" s="105"/>
    </row>
  </sheetData>
  <mergeCells count="11">
    <mergeCell ref="B58:E58"/>
    <mergeCell ref="B46:E46"/>
    <mergeCell ref="B50:E50"/>
    <mergeCell ref="B52:E52"/>
    <mergeCell ref="B54:E54"/>
    <mergeCell ref="B56:E56"/>
    <mergeCell ref="B60:E60"/>
    <mergeCell ref="B65:E65"/>
    <mergeCell ref="B67:E67"/>
    <mergeCell ref="B69:E69"/>
    <mergeCell ref="B72:E7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A66" workbookViewId="0">
      <selection activeCell="J71" sqref="J71"/>
    </sheetView>
  </sheetViews>
  <sheetFormatPr defaultRowHeight="15" x14ac:dyDescent="0.25"/>
  <cols>
    <col min="9" max="9" width="12.140625" customWidth="1"/>
  </cols>
  <sheetData>
    <row r="1" spans="1:17" x14ac:dyDescent="0.25">
      <c r="F1" s="90"/>
      <c r="G1" s="90"/>
      <c r="H1" s="90"/>
      <c r="I1" s="90"/>
    </row>
    <row r="2" spans="1:17" x14ac:dyDescent="0.25">
      <c r="F2" s="90"/>
      <c r="G2" s="90"/>
      <c r="H2" s="90"/>
      <c r="K2" s="656"/>
      <c r="L2" s="656" t="s">
        <v>113</v>
      </c>
      <c r="M2" s="656"/>
    </row>
    <row r="3" spans="1:17" x14ac:dyDescent="0.25">
      <c r="F3" s="90"/>
      <c r="G3" s="90"/>
      <c r="H3" s="90"/>
      <c r="K3" s="656" t="s">
        <v>665</v>
      </c>
      <c r="L3" s="656"/>
      <c r="M3" s="657">
        <v>2.2999999999999998</v>
      </c>
      <c r="O3" s="658">
        <v>1.75</v>
      </c>
      <c r="P3" s="658">
        <v>2</v>
      </c>
      <c r="Q3" s="658">
        <v>2.2000000000000002</v>
      </c>
    </row>
    <row r="4" spans="1:17" x14ac:dyDescent="0.25">
      <c r="F4" s="90"/>
      <c r="G4" s="90"/>
      <c r="K4" s="656" t="s">
        <v>666</v>
      </c>
      <c r="L4" s="656"/>
      <c r="M4" s="657">
        <v>6</v>
      </c>
      <c r="O4" s="658">
        <v>3</v>
      </c>
      <c r="P4" s="658">
        <v>4</v>
      </c>
      <c r="Q4" s="658">
        <v>5</v>
      </c>
    </row>
    <row r="5" spans="1:17" x14ac:dyDescent="0.25">
      <c r="F5" s="90"/>
      <c r="G5" s="90"/>
      <c r="K5" s="659" t="s">
        <v>667</v>
      </c>
      <c r="L5" s="656"/>
      <c r="M5" s="657" t="s">
        <v>668</v>
      </c>
      <c r="O5" s="660" t="s">
        <v>669</v>
      </c>
      <c r="P5" s="660" t="s">
        <v>670</v>
      </c>
      <c r="Q5" s="660" t="s">
        <v>671</v>
      </c>
    </row>
    <row r="6" spans="1:17" x14ac:dyDescent="0.25">
      <c r="F6" s="90"/>
      <c r="G6" s="90"/>
      <c r="K6" s="661" t="s">
        <v>672</v>
      </c>
      <c r="L6" s="662" t="str">
        <f>+IF(O21&gt;N21,"OK","Revise req")</f>
        <v>Revise req</v>
      </c>
      <c r="M6" s="657">
        <v>3</v>
      </c>
    </row>
    <row r="7" spans="1:17" x14ac:dyDescent="0.25">
      <c r="A7" s="129"/>
      <c r="B7" s="534" t="str">
        <f>Design!$B$1</f>
        <v>CPWS SCHEME TO                                                                                                       DISTRICT</v>
      </c>
      <c r="C7" s="534"/>
      <c r="D7" s="663"/>
      <c r="E7" s="534"/>
      <c r="F7" s="534"/>
      <c r="G7" s="534"/>
      <c r="H7" s="129"/>
      <c r="I7" s="129"/>
      <c r="K7" s="664" t="s">
        <v>33</v>
      </c>
      <c r="L7" s="413"/>
      <c r="M7" s="665">
        <v>500</v>
      </c>
    </row>
    <row r="8" spans="1:17" x14ac:dyDescent="0.25">
      <c r="A8" s="129"/>
      <c r="B8" s="129"/>
      <c r="C8" s="129"/>
      <c r="D8" s="139"/>
      <c r="E8" s="129"/>
      <c r="F8" s="129"/>
      <c r="G8" s="129"/>
      <c r="H8" s="129"/>
      <c r="I8" s="129"/>
    </row>
    <row r="9" spans="1:17" x14ac:dyDescent="0.25">
      <c r="A9" s="129"/>
      <c r="B9" s="129"/>
      <c r="C9" s="129"/>
      <c r="D9" s="129"/>
      <c r="E9" s="129"/>
      <c r="F9" s="129"/>
      <c r="G9" s="129"/>
      <c r="H9" s="129"/>
      <c r="I9" s="129"/>
    </row>
    <row r="10" spans="1:17" x14ac:dyDescent="0.25">
      <c r="A10" s="129"/>
      <c r="B10" s="129"/>
      <c r="C10" s="129"/>
      <c r="D10" s="129"/>
      <c r="E10" s="129"/>
      <c r="F10" s="129"/>
      <c r="G10" s="129"/>
      <c r="H10" s="129"/>
      <c r="I10" s="129"/>
    </row>
    <row r="11" spans="1:17" x14ac:dyDescent="0.25">
      <c r="A11" s="129"/>
      <c r="B11" s="129"/>
      <c r="C11" s="129"/>
      <c r="D11" s="129"/>
      <c r="E11" s="129"/>
      <c r="F11" s="129"/>
      <c r="G11" s="129"/>
      <c r="H11" s="129"/>
      <c r="I11" s="129"/>
    </row>
    <row r="12" spans="1:17" x14ac:dyDescent="0.25">
      <c r="A12" s="129"/>
      <c r="B12" s="129"/>
      <c r="C12" s="139"/>
      <c r="D12" s="139"/>
      <c r="E12" s="139"/>
      <c r="F12" s="139"/>
      <c r="G12" s="139"/>
      <c r="H12" s="139"/>
      <c r="I12" s="129"/>
    </row>
    <row r="13" spans="1:17" x14ac:dyDescent="0.25">
      <c r="A13" s="129"/>
      <c r="B13" s="129"/>
      <c r="C13" s="129"/>
      <c r="D13" s="129"/>
      <c r="E13" s="129"/>
      <c r="F13" s="129"/>
      <c r="G13" s="129"/>
      <c r="H13" s="139"/>
      <c r="I13" s="129"/>
    </row>
    <row r="14" spans="1:17" x14ac:dyDescent="0.25">
      <c r="A14" s="129"/>
      <c r="B14" s="129"/>
      <c r="C14" s="129"/>
      <c r="D14" s="129"/>
      <c r="E14" s="129"/>
      <c r="F14" s="129"/>
      <c r="G14" s="129"/>
      <c r="H14" s="139"/>
      <c r="I14" s="129"/>
    </row>
    <row r="15" spans="1:17" x14ac:dyDescent="0.25">
      <c r="A15" s="129"/>
      <c r="B15" s="129"/>
      <c r="C15" s="129"/>
      <c r="D15" s="129"/>
      <c r="E15" s="129"/>
      <c r="F15" s="129"/>
      <c r="G15" s="129"/>
      <c r="H15" s="139"/>
      <c r="I15" s="129"/>
    </row>
    <row r="16" spans="1:17" x14ac:dyDescent="0.25">
      <c r="A16" s="129"/>
      <c r="B16" s="129"/>
      <c r="C16" s="129"/>
      <c r="D16" s="129"/>
      <c r="E16" s="666">
        <f>+(E24+2*C24+0.3)</f>
        <v>6.5</v>
      </c>
      <c r="F16" s="129"/>
      <c r="G16" s="129"/>
      <c r="H16" s="139"/>
      <c r="I16" s="129"/>
    </row>
    <row r="17" spans="1:10" x14ac:dyDescent="0.25">
      <c r="A17" s="129" t="s">
        <v>268</v>
      </c>
      <c r="B17" s="129"/>
      <c r="C17" s="667">
        <v>0.15</v>
      </c>
      <c r="D17" s="668"/>
      <c r="E17" s="668"/>
      <c r="F17" s="668"/>
      <c r="G17" s="129"/>
      <c r="H17" s="669" t="s">
        <v>122</v>
      </c>
      <c r="I17" s="129"/>
    </row>
    <row r="18" spans="1:10" x14ac:dyDescent="0.25">
      <c r="A18" s="319" t="s">
        <v>673</v>
      </c>
      <c r="B18" s="324"/>
      <c r="C18" s="670">
        <v>0.3</v>
      </c>
      <c r="D18" s="668"/>
      <c r="E18" s="129"/>
      <c r="F18" s="429"/>
      <c r="G18" s="139"/>
      <c r="H18" s="139"/>
      <c r="I18" s="129"/>
    </row>
    <row r="19" spans="1:10" x14ac:dyDescent="0.25">
      <c r="A19" s="324" t="s">
        <v>674</v>
      </c>
      <c r="B19" s="324"/>
      <c r="C19" s="331">
        <v>0.3</v>
      </c>
      <c r="D19" s="429"/>
      <c r="E19" s="429"/>
      <c r="F19" s="429"/>
      <c r="G19" s="325" t="s">
        <v>675</v>
      </c>
      <c r="H19" s="139"/>
      <c r="I19" s="129"/>
    </row>
    <row r="20" spans="1:10" x14ac:dyDescent="0.25">
      <c r="A20" s="129"/>
      <c r="B20" s="546"/>
      <c r="C20" s="429"/>
      <c r="D20" s="429"/>
      <c r="E20" s="668"/>
      <c r="F20" s="668"/>
      <c r="G20" s="139"/>
      <c r="H20" s="139"/>
      <c r="I20" s="129"/>
    </row>
    <row r="21" spans="1:10" x14ac:dyDescent="0.25">
      <c r="A21" s="129"/>
      <c r="B21" s="129"/>
      <c r="C21" s="429"/>
      <c r="D21" s="429"/>
      <c r="E21" s="429"/>
      <c r="F21" s="429"/>
      <c r="G21" s="139"/>
      <c r="H21" s="139"/>
      <c r="I21" s="129"/>
    </row>
    <row r="22" spans="1:10" x14ac:dyDescent="0.25">
      <c r="A22" s="129" t="s">
        <v>419</v>
      </c>
      <c r="B22" s="129"/>
      <c r="C22" s="671">
        <f>M3</f>
        <v>2.2999999999999998</v>
      </c>
      <c r="D22" s="429"/>
      <c r="E22" s="429"/>
      <c r="F22" s="429"/>
      <c r="G22" s="139"/>
      <c r="H22" s="139"/>
      <c r="I22" s="129"/>
    </row>
    <row r="23" spans="1:10" x14ac:dyDescent="0.25">
      <c r="A23" s="129"/>
      <c r="B23" s="129"/>
      <c r="C23" s="429"/>
      <c r="D23" s="429"/>
      <c r="E23" s="429"/>
      <c r="F23" s="429"/>
      <c r="G23" s="139"/>
      <c r="H23" s="139"/>
      <c r="I23" s="129"/>
    </row>
    <row r="24" spans="1:10" x14ac:dyDescent="0.25">
      <c r="A24" s="129" t="s">
        <v>123</v>
      </c>
      <c r="B24" s="129"/>
      <c r="C24" s="671">
        <v>0.1</v>
      </c>
      <c r="D24" s="429"/>
      <c r="E24" s="672">
        <f>M4</f>
        <v>6</v>
      </c>
      <c r="F24" s="429"/>
      <c r="G24" s="139"/>
      <c r="H24" s="139"/>
      <c r="I24" s="129"/>
    </row>
    <row r="25" spans="1:10" x14ac:dyDescent="0.25">
      <c r="A25" s="129"/>
      <c r="B25" s="129"/>
      <c r="C25" s="429"/>
      <c r="D25" s="429"/>
      <c r="E25" s="429"/>
      <c r="F25" s="429"/>
      <c r="G25" s="139"/>
      <c r="H25" s="139"/>
      <c r="I25" s="129"/>
    </row>
    <row r="26" spans="1:10" x14ac:dyDescent="0.25">
      <c r="A26" s="319" t="s">
        <v>567</v>
      </c>
      <c r="B26" s="324"/>
      <c r="C26" s="670">
        <v>0.15</v>
      </c>
      <c r="D26" s="429"/>
      <c r="E26" s="429"/>
      <c r="F26" s="429"/>
      <c r="G26" s="429">
        <v>0.3</v>
      </c>
      <c r="H26" s="139"/>
      <c r="I26" s="129"/>
    </row>
    <row r="27" spans="1:10" x14ac:dyDescent="0.25">
      <c r="A27" s="129"/>
      <c r="B27" s="129"/>
      <c r="C27" s="129"/>
      <c r="D27" s="429"/>
      <c r="E27" s="429"/>
      <c r="F27" s="429"/>
      <c r="G27" s="139"/>
      <c r="H27" s="139"/>
      <c r="I27" s="129"/>
      <c r="J27" s="125"/>
    </row>
    <row r="28" spans="1:10" x14ac:dyDescent="0.25">
      <c r="A28" s="130" t="s">
        <v>568</v>
      </c>
      <c r="B28" s="129"/>
      <c r="C28" s="673">
        <v>0.2</v>
      </c>
      <c r="D28" s="429"/>
      <c r="E28" s="429"/>
      <c r="F28" s="429"/>
      <c r="G28" s="139"/>
      <c r="H28" s="139"/>
      <c r="I28" s="129"/>
    </row>
    <row r="29" spans="1:10" x14ac:dyDescent="0.25">
      <c r="A29" s="129"/>
      <c r="B29" s="129"/>
      <c r="C29" s="139"/>
      <c r="D29" s="139"/>
      <c r="E29" s="139"/>
      <c r="F29" s="139"/>
      <c r="G29" s="139"/>
      <c r="H29" s="546" t="str">
        <f>+IF(M5="Yes","C.C(1:3:6)","C.C(1:4:8)")</f>
        <v>C.C(1:4:8)</v>
      </c>
      <c r="I29" s="674">
        <f>+IF(M5="yes",0.45,0.3)</f>
        <v>0.3</v>
      </c>
    </row>
    <row r="30" spans="1:10" x14ac:dyDescent="0.25">
      <c r="A30" s="129"/>
      <c r="B30" s="129"/>
      <c r="C30" s="139"/>
      <c r="D30" s="139"/>
      <c r="E30" s="140">
        <f>+(E24+2*C24+2*G26)</f>
        <v>6.8</v>
      </c>
      <c r="F30" s="139"/>
      <c r="G30" s="139"/>
      <c r="H30" s="324" t="s">
        <v>125</v>
      </c>
      <c r="I30" s="674">
        <v>0.3</v>
      </c>
    </row>
    <row r="31" spans="1:10" x14ac:dyDescent="0.25">
      <c r="A31" s="129"/>
      <c r="B31" s="129"/>
      <c r="C31" s="129"/>
      <c r="D31" s="675"/>
      <c r="E31" s="676"/>
      <c r="F31" s="676"/>
      <c r="G31" s="677"/>
      <c r="H31" s="129"/>
      <c r="I31" s="129"/>
    </row>
    <row r="32" spans="1:10" x14ac:dyDescent="0.25">
      <c r="A32" s="129"/>
      <c r="B32" s="129"/>
      <c r="C32" s="129"/>
      <c r="D32" s="155"/>
      <c r="E32" s="155"/>
      <c r="F32" s="155"/>
      <c r="G32" s="155"/>
      <c r="H32" s="129"/>
      <c r="I32" s="129"/>
    </row>
    <row r="33" spans="1:9" x14ac:dyDescent="0.25">
      <c r="A33" s="412" t="s">
        <v>676</v>
      </c>
      <c r="B33" s="678"/>
      <c r="C33" s="678"/>
      <c r="D33" s="525">
        <f>+ROUNDDOWN(PI()*(E24^2)*0.25*(C22+C19-C26-C18),0)</f>
        <v>60</v>
      </c>
      <c r="E33" s="129" t="s">
        <v>20</v>
      </c>
      <c r="F33" s="129"/>
      <c r="G33" s="129"/>
      <c r="H33" s="129"/>
      <c r="I33" s="129"/>
    </row>
    <row r="34" spans="1:9" x14ac:dyDescent="0.25">
      <c r="A34" s="678" t="s">
        <v>677</v>
      </c>
      <c r="B34" s="678"/>
      <c r="C34" s="678"/>
      <c r="D34" s="525">
        <f>+ROUNDDOWN(PI()*(E24^2)*0.25*(C22+C19-C18),0)</f>
        <v>65</v>
      </c>
      <c r="E34" s="129" t="s">
        <v>20</v>
      </c>
      <c r="F34" s="129"/>
      <c r="G34" s="129"/>
      <c r="H34" s="129"/>
      <c r="I34" s="129"/>
    </row>
    <row r="35" spans="1:9" x14ac:dyDescent="0.25">
      <c r="A35" s="129" t="s">
        <v>127</v>
      </c>
      <c r="B35" s="129"/>
      <c r="C35" s="129"/>
      <c r="D35" s="129" t="s">
        <v>572</v>
      </c>
      <c r="E35" s="129"/>
      <c r="F35" s="129"/>
      <c r="G35" s="129"/>
      <c r="H35" s="129"/>
      <c r="I35" s="129"/>
    </row>
    <row r="36" spans="1:9" x14ac:dyDescent="0.25">
      <c r="A36" s="129" t="s">
        <v>129</v>
      </c>
      <c r="B36" s="129"/>
      <c r="C36" s="129"/>
      <c r="D36" s="129" t="s">
        <v>130</v>
      </c>
      <c r="E36" s="129"/>
      <c r="F36" s="129"/>
      <c r="G36" s="129"/>
      <c r="H36" s="129"/>
      <c r="I36" s="129"/>
    </row>
    <row r="37" spans="1:9" x14ac:dyDescent="0.25">
      <c r="A37" s="130" t="s">
        <v>131</v>
      </c>
      <c r="B37" s="129"/>
      <c r="C37" s="129"/>
      <c r="D37" s="129"/>
      <c r="E37" s="129"/>
      <c r="F37" s="129"/>
      <c r="G37" s="129"/>
      <c r="H37" s="129"/>
      <c r="I37" s="129"/>
    </row>
    <row r="38" spans="1:9" x14ac:dyDescent="0.25">
      <c r="A38" s="130" t="s">
        <v>132</v>
      </c>
      <c r="B38" s="129"/>
      <c r="C38" s="129"/>
      <c r="D38" s="129"/>
      <c r="E38" s="129"/>
      <c r="F38" s="129"/>
      <c r="G38" s="129"/>
      <c r="H38" s="129"/>
      <c r="I38" s="129"/>
    </row>
    <row r="39" spans="1:9" x14ac:dyDescent="0.25">
      <c r="A39" s="129"/>
      <c r="B39" s="129"/>
      <c r="C39" s="129"/>
      <c r="D39" s="129"/>
      <c r="E39" s="129"/>
      <c r="F39" s="129"/>
      <c r="G39" s="129"/>
      <c r="H39" s="129"/>
      <c r="I39" s="129"/>
    </row>
    <row r="42" spans="1:9" x14ac:dyDescent="0.25">
      <c r="A42" s="131" t="s">
        <v>678</v>
      </c>
      <c r="B42" s="131"/>
      <c r="C42" s="131"/>
      <c r="D42" s="131"/>
      <c r="E42" s="131"/>
      <c r="F42" s="131"/>
      <c r="G42" s="131"/>
      <c r="H42" s="131"/>
      <c r="I42" s="131"/>
    </row>
    <row r="43" spans="1:9" x14ac:dyDescent="0.25">
      <c r="A43" s="679" t="s">
        <v>679</v>
      </c>
      <c r="B43" s="124"/>
      <c r="C43" s="124"/>
      <c r="D43" s="124"/>
      <c r="E43" s="124"/>
      <c r="F43" s="680">
        <f>+D33*1000</f>
        <v>60000</v>
      </c>
      <c r="G43" s="124" t="s">
        <v>77</v>
      </c>
      <c r="H43" s="124"/>
      <c r="I43" s="124"/>
    </row>
    <row r="44" spans="1:9" x14ac:dyDescent="0.25">
      <c r="A44" s="141"/>
      <c r="B44" s="93" t="str">
        <f>Design!$B$1</f>
        <v>CPWS SCHEME TO                                                                                                       DISTRICT</v>
      </c>
      <c r="C44" s="93"/>
      <c r="D44" s="543"/>
      <c r="E44" s="93"/>
      <c r="F44" s="93"/>
      <c r="G44" s="93"/>
      <c r="H44" s="681" t="s">
        <v>136</v>
      </c>
      <c r="I44" s="143">
        <f ca="1">+I74</f>
        <v>450000</v>
      </c>
    </row>
    <row r="45" spans="1:9" x14ac:dyDescent="0.25">
      <c r="A45" s="93" t="s">
        <v>400</v>
      </c>
      <c r="B45" s="547" t="s">
        <v>138</v>
      </c>
      <c r="C45" s="682"/>
      <c r="D45" s="682"/>
      <c r="E45" s="93"/>
      <c r="F45" s="93"/>
      <c r="G45" s="93" t="s">
        <v>139</v>
      </c>
      <c r="H45" s="683" t="s">
        <v>140</v>
      </c>
      <c r="I45" s="683" t="s">
        <v>141</v>
      </c>
    </row>
    <row r="46" spans="1:9" ht="41.25" customHeight="1" x14ac:dyDescent="0.25">
      <c r="A46" s="146">
        <v>1</v>
      </c>
      <c r="B46" s="2094" t="s">
        <v>142</v>
      </c>
      <c r="C46" s="2093"/>
      <c r="D46" s="2093"/>
      <c r="E46" s="2093"/>
      <c r="F46" s="95"/>
      <c r="G46" s="95"/>
      <c r="H46" s="684"/>
      <c r="I46" s="684"/>
    </row>
    <row r="47" spans="1:9" x14ac:dyDescent="0.25">
      <c r="B47" s="130" t="s">
        <v>680</v>
      </c>
      <c r="C47" s="148" t="s">
        <v>143</v>
      </c>
      <c r="D47" s="295">
        <v>6</v>
      </c>
      <c r="E47" s="295">
        <f>+D47</f>
        <v>6</v>
      </c>
      <c r="F47" s="295">
        <f>RAM!I23</f>
        <v>3</v>
      </c>
      <c r="G47" s="295">
        <f>+ROUND((22/28)*E47*D47*F47,2)</f>
        <v>84.86</v>
      </c>
      <c r="H47" s="295">
        <f>Data!I12</f>
        <v>158.80000000000001</v>
      </c>
      <c r="I47" s="233">
        <f>+ROUND(H47*G47,0)</f>
        <v>13476</v>
      </c>
    </row>
    <row r="48" spans="1:9" x14ac:dyDescent="0.25">
      <c r="B48" s="130" t="s">
        <v>681</v>
      </c>
      <c r="C48" s="148" t="s">
        <v>143</v>
      </c>
      <c r="D48" s="295">
        <v>6</v>
      </c>
      <c r="E48" s="295">
        <f>+D48</f>
        <v>6</v>
      </c>
      <c r="F48" s="295">
        <f>RAM!I24</f>
        <v>9.9999999999999645E-2</v>
      </c>
      <c r="G48" s="295">
        <f>+ROUND((22/28)*E48*D48*F48,2)</f>
        <v>2.83</v>
      </c>
      <c r="H48" s="295">
        <f>Data!I18</f>
        <v>204.2</v>
      </c>
      <c r="I48" s="233">
        <f>+ROUND(H48*G48,0)</f>
        <v>578</v>
      </c>
    </row>
    <row r="49" spans="1:9" x14ac:dyDescent="0.25">
      <c r="B49" s="130" t="s">
        <v>164</v>
      </c>
      <c r="C49" s="148" t="s">
        <v>143</v>
      </c>
      <c r="D49" s="295">
        <v>6</v>
      </c>
      <c r="E49" s="295">
        <f>+D49</f>
        <v>6</v>
      </c>
      <c r="F49" s="295">
        <f>RAM!I25</f>
        <v>0</v>
      </c>
      <c r="G49" s="295">
        <f>+ROUND((22/28)*E49*D49*F49,2)</f>
        <v>0</v>
      </c>
      <c r="H49" s="295">
        <f>Data!I23</f>
        <v>272.2</v>
      </c>
      <c r="I49" s="233">
        <f>+ROUND(H49*G49,0)</f>
        <v>0</v>
      </c>
    </row>
    <row r="50" spans="1:9" ht="42" customHeight="1" x14ac:dyDescent="0.25">
      <c r="A50" s="146">
        <v>2</v>
      </c>
      <c r="B50" s="2094" t="s">
        <v>144</v>
      </c>
      <c r="C50" s="2093"/>
      <c r="D50" s="2093"/>
      <c r="E50" s="2093"/>
    </row>
    <row r="51" spans="1:9" x14ac:dyDescent="0.25">
      <c r="B51" s="550"/>
      <c r="C51" s="148" t="s">
        <v>143</v>
      </c>
      <c r="D51" s="295">
        <f>+E30</f>
        <v>6.8</v>
      </c>
      <c r="E51" s="295">
        <f>+D51</f>
        <v>6.8</v>
      </c>
      <c r="F51" s="685">
        <f>+I29</f>
        <v>0.3</v>
      </c>
      <c r="G51" s="295">
        <f>+ROUND((22/28)*D51*D51*I29,2)</f>
        <v>10.9</v>
      </c>
      <c r="H51" s="295">
        <f>Data!I44</f>
        <v>4470.5</v>
      </c>
      <c r="I51" s="233">
        <f>+ROUND(H51*G51,0)</f>
        <v>48728</v>
      </c>
    </row>
    <row r="52" spans="1:9" ht="54" customHeight="1" x14ac:dyDescent="0.25">
      <c r="A52" s="146">
        <v>3</v>
      </c>
      <c r="B52" s="2094" t="s">
        <v>145</v>
      </c>
      <c r="C52" s="2093"/>
      <c r="D52" s="2093"/>
      <c r="E52" s="2093"/>
    </row>
    <row r="53" spans="1:9" x14ac:dyDescent="0.25">
      <c r="B53" s="105"/>
      <c r="C53" s="148" t="s">
        <v>143</v>
      </c>
      <c r="D53" s="295">
        <f>+E30</f>
        <v>6.8</v>
      </c>
      <c r="E53" s="295">
        <f>+D53</f>
        <v>6.8</v>
      </c>
      <c r="F53" s="685">
        <f>+I30</f>
        <v>0.3</v>
      </c>
      <c r="G53" s="295">
        <f>+(22/28)*D53*D53*I30</f>
        <v>10.899428571428571</v>
      </c>
      <c r="H53" s="295">
        <f>Data!I30</f>
        <v>937.7</v>
      </c>
      <c r="I53" s="233">
        <f>+ROUND(H53*G53,0)</f>
        <v>10220</v>
      </c>
    </row>
    <row r="54" spans="1:9" ht="60" customHeight="1" x14ac:dyDescent="0.25">
      <c r="A54" s="146">
        <v>4</v>
      </c>
      <c r="B54" s="2092" t="s">
        <v>590</v>
      </c>
      <c r="C54" s="2093"/>
      <c r="D54" s="2093"/>
      <c r="E54" s="2093"/>
    </row>
    <row r="55" spans="1:9" x14ac:dyDescent="0.25">
      <c r="A55" s="105"/>
      <c r="B55" s="105"/>
      <c r="C55" s="148" t="s">
        <v>143</v>
      </c>
      <c r="D55" s="295">
        <f>+E30</f>
        <v>6.8</v>
      </c>
      <c r="E55" s="295">
        <f>+D55</f>
        <v>6.8</v>
      </c>
      <c r="F55" s="685">
        <f>+C28</f>
        <v>0.2</v>
      </c>
      <c r="G55" s="295">
        <f>+(0.785714285714286)*C28*D55*D55</f>
        <v>7.2662857142857185</v>
      </c>
      <c r="H55" s="295">
        <f>Data!I423</f>
        <v>9199.4</v>
      </c>
      <c r="I55" s="233">
        <f>+ROUND(H55*G55,0)</f>
        <v>66845</v>
      </c>
    </row>
    <row r="56" spans="1:9" ht="76.5" customHeight="1" x14ac:dyDescent="0.25">
      <c r="A56" s="146">
        <v>5</v>
      </c>
      <c r="B56" s="2092" t="s">
        <v>575</v>
      </c>
      <c r="C56" s="2093"/>
      <c r="D56" s="2093"/>
      <c r="E56" s="2093"/>
    </row>
    <row r="57" spans="1:9" x14ac:dyDescent="0.25">
      <c r="B57" s="105"/>
      <c r="C57" s="153" t="s">
        <v>147</v>
      </c>
      <c r="D57" s="295">
        <f>+E24+C24</f>
        <v>6.1</v>
      </c>
      <c r="E57" s="295">
        <f>+C22+C19</f>
        <v>2.5999999999999996</v>
      </c>
      <c r="F57" s="685">
        <f>+C24</f>
        <v>0.1</v>
      </c>
      <c r="G57" s="295">
        <f>+ROUND((22/7)*D57*F57*E57,2)</f>
        <v>4.9800000000000004</v>
      </c>
      <c r="H57" s="295">
        <f>Data!I462</f>
        <v>22010.799999999999</v>
      </c>
      <c r="I57" s="233">
        <f>+ROUND(H57*G57,0)</f>
        <v>109614</v>
      </c>
    </row>
    <row r="58" spans="1:9" ht="66" customHeight="1" x14ac:dyDescent="0.25">
      <c r="A58" s="146">
        <v>6</v>
      </c>
      <c r="B58" s="2092" t="str">
        <f>+CONCATENATE("M30 grade concrete using 20 mm HBG metal including cost and conveyance of all the materials,but excluding the cost of the steel etc complete for Top Slab with ",C17, " thickness")</f>
        <v>M30 grade concrete using 20 mm HBG metal including cost and conveyance of all the materials,but excluding the cost of the steel etc complete for Top Slab with 0.15 thickness</v>
      </c>
      <c r="C58" s="2093"/>
      <c r="D58" s="2093"/>
      <c r="E58" s="2093"/>
    </row>
    <row r="59" spans="1:9" x14ac:dyDescent="0.25">
      <c r="D59" s="148" t="s">
        <v>143</v>
      </c>
      <c r="E59" s="295">
        <f>+E16</f>
        <v>6.5</v>
      </c>
      <c r="F59" s="295">
        <f>+E59</f>
        <v>6.5</v>
      </c>
      <c r="G59" s="295">
        <f>+ROUND((0.785714285714286)*E59*F59,2)</f>
        <v>33.200000000000003</v>
      </c>
      <c r="H59" s="295">
        <f>Data!I470</f>
        <v>13422</v>
      </c>
      <c r="I59" s="233">
        <f>+ROUND(H59*G59*0.1,0)</f>
        <v>44561</v>
      </c>
    </row>
    <row r="60" spans="1:9" ht="64.5" customHeight="1" x14ac:dyDescent="0.25">
      <c r="A60" s="146">
        <v>7</v>
      </c>
      <c r="B60" s="2094" t="s">
        <v>576</v>
      </c>
      <c r="C60" s="2093"/>
      <c r="D60" s="2093"/>
      <c r="E60" s="2093"/>
    </row>
    <row r="61" spans="1:9" x14ac:dyDescent="0.25">
      <c r="B61" s="130" t="s">
        <v>682</v>
      </c>
      <c r="D61" s="148" t="s">
        <v>143</v>
      </c>
      <c r="E61" s="295">
        <f>+E16</f>
        <v>6.5</v>
      </c>
      <c r="F61" s="295">
        <f>+E16</f>
        <v>6.5</v>
      </c>
      <c r="G61" s="295">
        <f>+ROUND((22/28)*E61*F61,2)</f>
        <v>33.200000000000003</v>
      </c>
      <c r="H61" s="295"/>
      <c r="I61" s="233"/>
    </row>
    <row r="62" spans="1:9" x14ac:dyDescent="0.25">
      <c r="B62" s="130" t="s">
        <v>683</v>
      </c>
      <c r="D62" s="153" t="s">
        <v>147</v>
      </c>
      <c r="E62" s="295">
        <f>+E24</f>
        <v>6</v>
      </c>
      <c r="F62" s="295">
        <f>+C22</f>
        <v>2.2999999999999998</v>
      </c>
      <c r="G62" s="295">
        <f>+ROUND((22/7)*E62*C22,2)</f>
        <v>43.37</v>
      </c>
      <c r="H62" s="129"/>
      <c r="I62" s="233"/>
    </row>
    <row r="63" spans="1:9" x14ac:dyDescent="0.25">
      <c r="B63" s="536" t="s">
        <v>271</v>
      </c>
      <c r="D63" s="148" t="s">
        <v>143</v>
      </c>
      <c r="E63" s="295">
        <f>+E62</f>
        <v>6</v>
      </c>
      <c r="F63" s="295">
        <f>+E63</f>
        <v>6</v>
      </c>
      <c r="G63" s="551">
        <f>+ROUND((0.785714285714286)*E63*F63,2)</f>
        <v>28.29</v>
      </c>
      <c r="H63" s="295"/>
      <c r="I63" s="233"/>
    </row>
    <row r="64" spans="1:9" x14ac:dyDescent="0.25">
      <c r="B64" s="105"/>
      <c r="E64" s="295"/>
      <c r="F64" s="686" t="s">
        <v>499</v>
      </c>
      <c r="G64" s="551">
        <f>SUM(G61:G63)</f>
        <v>104.85999999999999</v>
      </c>
      <c r="H64" s="295">
        <f>Data!H233</f>
        <v>1619.7</v>
      </c>
      <c r="I64" s="233">
        <f>+ROUND(H64*G64*0.1,0)</f>
        <v>16984</v>
      </c>
    </row>
    <row r="65" spans="1:9" ht="70.5" customHeight="1" x14ac:dyDescent="0.25">
      <c r="A65" s="146">
        <v>8</v>
      </c>
      <c r="B65" s="2094" t="s">
        <v>151</v>
      </c>
      <c r="C65" s="2093"/>
      <c r="D65" s="2093"/>
      <c r="E65" s="2093"/>
    </row>
    <row r="66" spans="1:9" x14ac:dyDescent="0.25">
      <c r="B66" s="130" t="s">
        <v>684</v>
      </c>
      <c r="D66" s="153" t="s">
        <v>147</v>
      </c>
      <c r="E66" s="295">
        <f>+(E24+2*C24)</f>
        <v>6.2</v>
      </c>
      <c r="F66" s="295">
        <f>+C19</f>
        <v>0.3</v>
      </c>
      <c r="G66" s="149">
        <f>+ROUND((3.14285714285714)*E66*F66,2)</f>
        <v>5.85</v>
      </c>
      <c r="H66" s="295">
        <f>Data!I670</f>
        <v>1491.9</v>
      </c>
      <c r="I66" s="233">
        <f>+ROUND(H66*G66*0.1,0)</f>
        <v>873</v>
      </c>
    </row>
    <row r="67" spans="1:9" ht="59.25" customHeight="1" x14ac:dyDescent="0.25">
      <c r="A67" s="146">
        <v>9</v>
      </c>
      <c r="B67" s="2094" t="s">
        <v>306</v>
      </c>
      <c r="C67" s="2093"/>
      <c r="D67" s="2093"/>
      <c r="E67" s="2093"/>
      <c r="G67" s="90"/>
    </row>
    <row r="68" spans="1:9" x14ac:dyDescent="0.25">
      <c r="B68" s="105"/>
      <c r="C68" s="687"/>
      <c r="D68" s="153" t="s">
        <v>147</v>
      </c>
      <c r="E68" s="295">
        <f>+(E24+2*C24)</f>
        <v>6.2</v>
      </c>
      <c r="F68" s="295">
        <f>+C19</f>
        <v>0.3</v>
      </c>
      <c r="G68" s="149">
        <f>+(3.14285714285714)*E68*F68</f>
        <v>5.8457142857142808</v>
      </c>
      <c r="H68" s="295">
        <f>Data!I679</f>
        <v>1202.7</v>
      </c>
      <c r="I68" s="233">
        <f>+ROUND(H68*G68*0.1,0)</f>
        <v>703</v>
      </c>
    </row>
    <row r="69" spans="1:9" ht="58.5" customHeight="1" x14ac:dyDescent="0.25">
      <c r="A69" s="146">
        <v>10</v>
      </c>
      <c r="B69" s="2092" t="s">
        <v>156</v>
      </c>
      <c r="C69" s="2093"/>
      <c r="D69" s="2093"/>
      <c r="E69" s="2093"/>
    </row>
    <row r="70" spans="1:9" x14ac:dyDescent="0.25">
      <c r="A70" s="105"/>
      <c r="B70" s="105"/>
      <c r="G70" s="538">
        <f>(G55+G57+G59*0.1)*0.1</f>
        <v>1.5566285714285719</v>
      </c>
      <c r="H70" s="154">
        <f>Data!H327</f>
        <v>60670.400000000001</v>
      </c>
      <c r="I70" s="233">
        <f>+ROUND(H70*G70,0)</f>
        <v>94441</v>
      </c>
    </row>
    <row r="71" spans="1:9" ht="30" customHeight="1" x14ac:dyDescent="0.25">
      <c r="A71" s="146">
        <v>11</v>
      </c>
      <c r="B71" s="129" t="s">
        <v>580</v>
      </c>
      <c r="C71" s="129"/>
      <c r="D71" s="129" t="s">
        <v>100</v>
      </c>
      <c r="E71" s="129"/>
      <c r="F71" s="129"/>
      <c r="G71" s="129"/>
      <c r="H71" s="527"/>
      <c r="I71" s="688">
        <v>3364</v>
      </c>
    </row>
    <row r="72" spans="1:9" ht="30" customHeight="1" x14ac:dyDescent="0.25">
      <c r="A72" s="146">
        <v>12</v>
      </c>
      <c r="B72" s="2142" t="str">
        <f ca="1">+CONCATENATE(+RAM!K24," Dia pipe ","2mt-",RAM!K25," ,0.9mt-",RAM!K26,",0.6mt-",RAM!K27,",Bellmouth-",RAM!K28, ",Duckfoot bend-",RAM!K29)</f>
        <v>150 Dia pipe 2mt-1 ,0.9mt-1,0.6mt-2,Bellmouth-1,Duckfoot bend-1</v>
      </c>
      <c r="C72" s="2143"/>
      <c r="D72" s="2143"/>
      <c r="E72" s="2144"/>
      <c r="F72" s="129"/>
      <c r="G72" s="129"/>
      <c r="H72" s="527"/>
      <c r="I72" s="233">
        <f ca="1">RAM!L30</f>
        <v>21090</v>
      </c>
    </row>
    <row r="73" spans="1:9" ht="30" customHeight="1" x14ac:dyDescent="0.25">
      <c r="A73" s="146">
        <v>13</v>
      </c>
      <c r="B73" s="129" t="s">
        <v>685</v>
      </c>
      <c r="C73" s="129"/>
      <c r="D73" s="129"/>
      <c r="E73" s="129"/>
      <c r="F73" s="129"/>
      <c r="G73" s="129"/>
      <c r="H73" s="129"/>
      <c r="I73" s="557">
        <f ca="1">+I74-SUM(I47:I72)</f>
        <v>18523</v>
      </c>
    </row>
    <row r="74" spans="1:9" ht="30" customHeight="1" x14ac:dyDescent="0.25">
      <c r="B74" s="129"/>
      <c r="C74" s="129"/>
      <c r="D74" s="129"/>
      <c r="E74" s="129"/>
      <c r="F74" s="129"/>
      <c r="G74" s="129"/>
      <c r="H74" s="527" t="s">
        <v>23</v>
      </c>
      <c r="I74" s="165">
        <f ca="1">((INT(SUM(I47:I72)*0.00004))*25000)+25000</f>
        <v>450000</v>
      </c>
    </row>
    <row r="76" spans="1:9" x14ac:dyDescent="0.25">
      <c r="B76" s="105"/>
      <c r="H76" s="154"/>
      <c r="I76" s="378"/>
    </row>
    <row r="77" spans="1:9" x14ac:dyDescent="0.25">
      <c r="A77" s="105"/>
      <c r="B77" s="105"/>
    </row>
    <row r="78" spans="1:9" x14ac:dyDescent="0.25">
      <c r="B78" s="105"/>
    </row>
    <row r="80" spans="1:9" x14ac:dyDescent="0.25">
      <c r="B80" s="105"/>
    </row>
    <row r="81" spans="1:4" x14ac:dyDescent="0.25">
      <c r="B81" s="550"/>
      <c r="D81" s="120"/>
    </row>
    <row r="82" spans="1:4" x14ac:dyDescent="0.25">
      <c r="A82" s="105"/>
      <c r="B82" s="105"/>
    </row>
  </sheetData>
  <mergeCells count="11">
    <mergeCell ref="B58:E58"/>
    <mergeCell ref="B46:E46"/>
    <mergeCell ref="B50:E50"/>
    <mergeCell ref="B52:E52"/>
    <mergeCell ref="B54:E54"/>
    <mergeCell ref="B56:E56"/>
    <mergeCell ref="B60:E60"/>
    <mergeCell ref="B65:E65"/>
    <mergeCell ref="B67:E67"/>
    <mergeCell ref="B69:E69"/>
    <mergeCell ref="B72:E72"/>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2"/>
  <sheetViews>
    <sheetView topLeftCell="A66" workbookViewId="0">
      <selection activeCell="I76" sqref="I76"/>
    </sheetView>
  </sheetViews>
  <sheetFormatPr defaultRowHeight="15" x14ac:dyDescent="0.25"/>
  <cols>
    <col min="9" max="9" width="14.28515625" customWidth="1"/>
  </cols>
  <sheetData>
    <row r="1" spans="1:32" x14ac:dyDescent="0.25">
      <c r="J1">
        <v>1000</v>
      </c>
    </row>
    <row r="2" spans="1:32" x14ac:dyDescent="0.25">
      <c r="A2" s="2148" t="str">
        <f>Design!B1</f>
        <v>CPWS SCHEME TO                                                                                                       DISTRICT</v>
      </c>
      <c r="B2" s="2148"/>
      <c r="C2" s="2148"/>
      <c r="D2" s="2148"/>
      <c r="E2" s="2148"/>
      <c r="F2" s="2148"/>
      <c r="G2" s="2148"/>
      <c r="H2" s="2148"/>
      <c r="I2" s="2148"/>
      <c r="U2" s="90"/>
      <c r="V2" s="90"/>
      <c r="W2" s="90"/>
      <c r="X2" s="90"/>
      <c r="Y2" s="90"/>
      <c r="Z2" s="90"/>
      <c r="AA2" s="90"/>
      <c r="AB2" s="90"/>
      <c r="AC2" s="90"/>
      <c r="AD2" s="90"/>
      <c r="AE2" s="90"/>
      <c r="AF2" s="90"/>
    </row>
    <row r="3" spans="1:32" x14ac:dyDescent="0.25">
      <c r="A3" s="129"/>
      <c r="B3" s="155"/>
      <c r="C3" s="189"/>
      <c r="D3" s="677"/>
      <c r="E3" s="155"/>
      <c r="F3" s="155"/>
      <c r="G3" s="155"/>
      <c r="H3" s="129"/>
      <c r="I3" s="129"/>
      <c r="S3" s="689"/>
      <c r="T3" s="689"/>
      <c r="U3" s="90"/>
      <c r="V3" s="257"/>
      <c r="W3" s="257"/>
      <c r="X3" s="257"/>
      <c r="Y3" s="258"/>
      <c r="Z3" s="257"/>
      <c r="AA3" s="257"/>
      <c r="AB3" s="257"/>
      <c r="AC3" s="176"/>
      <c r="AD3" s="90"/>
      <c r="AE3" s="90"/>
      <c r="AF3" s="90"/>
    </row>
    <row r="4" spans="1:32" x14ac:dyDescent="0.25">
      <c r="A4" s="129"/>
      <c r="B4" s="155"/>
      <c r="C4" s="155"/>
      <c r="D4" s="155"/>
      <c r="E4" s="155"/>
      <c r="F4" s="155"/>
      <c r="G4" s="155"/>
      <c r="H4" s="129"/>
      <c r="I4" s="129"/>
      <c r="U4" s="90"/>
      <c r="V4" s="83"/>
      <c r="W4" s="83"/>
      <c r="X4" s="83"/>
      <c r="Y4" s="83"/>
      <c r="Z4" s="83"/>
      <c r="AA4" s="83"/>
      <c r="AB4" s="83"/>
      <c r="AC4" s="90"/>
      <c r="AD4" s="90"/>
      <c r="AE4" s="90"/>
      <c r="AF4" s="90"/>
    </row>
    <row r="5" spans="1:32" x14ac:dyDescent="0.25">
      <c r="A5" s="129"/>
      <c r="B5" s="129"/>
      <c r="C5" s="129"/>
      <c r="D5" s="129"/>
      <c r="E5" s="129"/>
      <c r="F5" s="129"/>
      <c r="G5" s="129"/>
      <c r="H5" s="129"/>
      <c r="I5" s="129"/>
      <c r="U5" s="90"/>
      <c r="V5" s="83"/>
      <c r="W5" s="83"/>
      <c r="X5" s="83"/>
      <c r="Y5" s="83"/>
      <c r="Z5" s="83"/>
      <c r="AA5" s="83"/>
      <c r="AB5" s="83"/>
      <c r="AC5" s="90"/>
      <c r="AD5" s="90"/>
      <c r="AE5" s="90"/>
      <c r="AF5" s="90"/>
    </row>
    <row r="6" spans="1:32" x14ac:dyDescent="0.25">
      <c r="A6" s="129"/>
      <c r="B6" s="129"/>
      <c r="C6" s="129"/>
      <c r="D6" s="129"/>
      <c r="E6" s="129"/>
      <c r="F6" s="129"/>
      <c r="G6" s="690" t="s">
        <v>16</v>
      </c>
      <c r="H6" s="691">
        <f>Design!G25</f>
        <v>1678</v>
      </c>
      <c r="I6" s="129"/>
      <c r="U6" s="90"/>
      <c r="V6" s="83"/>
      <c r="W6" s="83"/>
      <c r="X6" s="83"/>
      <c r="Y6" s="83"/>
      <c r="Z6" s="83"/>
      <c r="AA6" s="83"/>
      <c r="AB6" s="83"/>
      <c r="AC6" s="90"/>
      <c r="AD6" s="90"/>
      <c r="AE6" s="90"/>
      <c r="AF6" s="90"/>
    </row>
    <row r="7" spans="1:32" x14ac:dyDescent="0.25">
      <c r="A7" s="129"/>
      <c r="B7" s="129"/>
      <c r="C7" s="139"/>
      <c r="D7" s="139"/>
      <c r="E7" s="139"/>
      <c r="F7" s="129"/>
      <c r="G7" s="129"/>
      <c r="H7" s="129"/>
      <c r="I7" s="129"/>
      <c r="U7" s="90"/>
      <c r="V7" s="83"/>
      <c r="W7" s="83"/>
      <c r="X7" s="83"/>
      <c r="Y7" s="83"/>
      <c r="Z7" s="83"/>
      <c r="AA7" s="83"/>
      <c r="AB7" s="83"/>
      <c r="AC7" s="90"/>
      <c r="AD7" s="90"/>
      <c r="AE7" s="90"/>
      <c r="AF7" s="90"/>
    </row>
    <row r="8" spans="1:32" x14ac:dyDescent="0.25">
      <c r="A8" s="129" t="s">
        <v>585</v>
      </c>
      <c r="B8" s="129"/>
      <c r="C8" s="692">
        <v>0.1</v>
      </c>
      <c r="D8" s="693"/>
      <c r="E8" s="693"/>
      <c r="F8" s="139"/>
      <c r="G8" s="139"/>
      <c r="H8" s="139"/>
      <c r="I8" s="129"/>
      <c r="U8" s="90"/>
      <c r="V8" s="83"/>
      <c r="W8" s="83"/>
      <c r="X8" s="83"/>
      <c r="Y8" s="83"/>
      <c r="Z8" s="83"/>
      <c r="AA8" s="83"/>
      <c r="AB8" s="83"/>
      <c r="AC8" s="90"/>
      <c r="AD8" s="90"/>
      <c r="AE8" s="90"/>
      <c r="AF8" s="90"/>
    </row>
    <row r="9" spans="1:32" x14ac:dyDescent="0.25">
      <c r="A9" s="129"/>
      <c r="B9" s="129"/>
      <c r="C9" s="139"/>
      <c r="D9" s="693"/>
      <c r="E9" s="693"/>
      <c r="F9" s="139"/>
      <c r="G9" s="139"/>
      <c r="H9" s="139"/>
      <c r="I9" s="129"/>
      <c r="O9" s="105"/>
      <c r="P9" s="105"/>
      <c r="U9" s="90"/>
      <c r="V9" s="83"/>
      <c r="W9" s="83"/>
      <c r="X9" s="83"/>
      <c r="Y9" s="83"/>
      <c r="Z9" s="83"/>
      <c r="AA9" s="83"/>
      <c r="AB9" s="83"/>
      <c r="AC9" s="90"/>
      <c r="AD9" s="90"/>
      <c r="AE9" s="90"/>
      <c r="AF9" s="90"/>
    </row>
    <row r="10" spans="1:32" x14ac:dyDescent="0.25">
      <c r="A10" s="129"/>
      <c r="B10" s="129"/>
      <c r="C10" s="139"/>
      <c r="D10" s="693"/>
      <c r="E10" s="129"/>
      <c r="F10" s="694">
        <v>2</v>
      </c>
      <c r="G10" s="139"/>
      <c r="H10" s="139"/>
      <c r="I10" s="129"/>
      <c r="O10" s="105"/>
      <c r="P10" s="105"/>
      <c r="U10" s="90"/>
      <c r="V10" s="83"/>
      <c r="W10" s="83"/>
      <c r="X10" s="83"/>
      <c r="Y10" s="83"/>
      <c r="Z10" s="83"/>
      <c r="AA10" s="83"/>
      <c r="AB10" s="83"/>
      <c r="AC10" s="90"/>
      <c r="AD10" s="90"/>
      <c r="AE10" s="90"/>
      <c r="AF10" s="90"/>
    </row>
    <row r="11" spans="1:32" x14ac:dyDescent="0.25">
      <c r="A11" s="130" t="s">
        <v>586</v>
      </c>
      <c r="B11" s="129"/>
      <c r="C11" s="331">
        <v>0.3</v>
      </c>
      <c r="D11" s="693"/>
      <c r="E11" s="693"/>
      <c r="F11" s="139"/>
      <c r="G11" s="139"/>
      <c r="H11" s="139"/>
      <c r="I11" s="129"/>
      <c r="U11" s="90"/>
      <c r="V11" s="83"/>
      <c r="W11" s="83"/>
      <c r="X11" s="83"/>
      <c r="Y11" s="83"/>
      <c r="Z11" s="83"/>
      <c r="AA11" s="83"/>
      <c r="AB11" s="83"/>
      <c r="AC11" s="90"/>
      <c r="AD11" s="90"/>
      <c r="AE11" s="90"/>
      <c r="AF11" s="90"/>
    </row>
    <row r="12" spans="1:32" x14ac:dyDescent="0.25">
      <c r="A12" s="129"/>
      <c r="B12" s="129"/>
      <c r="C12" s="695">
        <v>0.3</v>
      </c>
      <c r="D12" s="139"/>
      <c r="E12" s="139"/>
      <c r="F12" s="139"/>
      <c r="G12" s="139"/>
      <c r="H12" s="669" t="s">
        <v>122</v>
      </c>
      <c r="I12" s="129"/>
      <c r="U12" s="90"/>
      <c r="V12" s="83"/>
      <c r="W12" s="83"/>
      <c r="X12" s="83"/>
      <c r="Y12" s="83"/>
      <c r="Z12" s="83"/>
      <c r="AA12" s="83"/>
      <c r="AB12" s="83"/>
      <c r="AC12" s="90"/>
      <c r="AD12" s="90"/>
      <c r="AE12" s="90"/>
      <c r="AF12" s="90"/>
    </row>
    <row r="13" spans="1:32" x14ac:dyDescent="0.25">
      <c r="A13" s="319" t="s">
        <v>673</v>
      </c>
      <c r="B13" s="324"/>
      <c r="C13" s="670">
        <v>0.3</v>
      </c>
      <c r="D13" s="129"/>
      <c r="E13" s="129"/>
      <c r="F13" s="139"/>
      <c r="G13" s="139"/>
      <c r="H13" s="139"/>
      <c r="I13" s="129"/>
      <c r="U13" s="90"/>
      <c r="V13" s="83"/>
      <c r="W13" s="83"/>
      <c r="X13" s="83"/>
      <c r="Y13" s="83"/>
      <c r="Z13" s="83"/>
      <c r="AA13" s="83"/>
      <c r="AB13" s="83"/>
      <c r="AC13" s="90"/>
      <c r="AD13" s="90"/>
      <c r="AE13" s="90"/>
      <c r="AF13" s="90"/>
    </row>
    <row r="14" spans="1:32" x14ac:dyDescent="0.25">
      <c r="A14" s="324" t="s">
        <v>674</v>
      </c>
      <c r="B14" s="324"/>
      <c r="C14" s="331">
        <v>0.3</v>
      </c>
      <c r="D14" s="139"/>
      <c r="E14" s="139"/>
      <c r="F14" s="139"/>
      <c r="G14" s="325" t="s">
        <v>686</v>
      </c>
      <c r="H14" s="139"/>
      <c r="I14" s="129"/>
      <c r="U14" s="90"/>
      <c r="V14" s="83"/>
      <c r="W14" s="83"/>
      <c r="X14" s="83"/>
      <c r="Y14" s="83"/>
      <c r="Z14" s="83"/>
      <c r="AA14" s="83"/>
      <c r="AB14" s="83"/>
      <c r="AC14" s="90"/>
      <c r="AD14" s="90"/>
      <c r="AE14" s="90"/>
      <c r="AF14" s="90"/>
    </row>
    <row r="15" spans="1:32" x14ac:dyDescent="0.25">
      <c r="A15" s="129"/>
      <c r="B15" s="546" t="s">
        <v>122</v>
      </c>
      <c r="C15" s="139"/>
      <c r="D15" s="139"/>
      <c r="E15" s="696" t="s">
        <v>587</v>
      </c>
      <c r="F15" s="671">
        <v>8</v>
      </c>
      <c r="G15" s="139"/>
      <c r="H15" s="139"/>
      <c r="I15" s="129"/>
      <c r="U15" s="90"/>
      <c r="V15" s="83"/>
      <c r="W15" s="83"/>
      <c r="X15" s="83"/>
      <c r="Y15" s="83"/>
      <c r="Z15" s="83"/>
      <c r="AA15" s="83"/>
      <c r="AB15" s="83"/>
      <c r="AC15" s="90"/>
      <c r="AD15" s="90"/>
      <c r="AE15" s="90"/>
      <c r="AF15" s="90"/>
    </row>
    <row r="16" spans="1:32" x14ac:dyDescent="0.25">
      <c r="A16" s="129"/>
      <c r="B16" s="129"/>
      <c r="C16" s="139"/>
      <c r="D16" s="139"/>
      <c r="E16" s="139"/>
      <c r="F16" s="139"/>
      <c r="G16" s="139"/>
      <c r="H16" s="139"/>
      <c r="I16" s="129"/>
      <c r="U16" s="90"/>
      <c r="V16" s="90"/>
      <c r="W16" s="90"/>
      <c r="X16" s="90"/>
      <c r="Y16" s="90"/>
      <c r="Z16" s="90"/>
      <c r="AA16" s="90"/>
      <c r="AB16" s="90"/>
      <c r="AC16" s="90"/>
      <c r="AD16" s="90"/>
      <c r="AE16" s="90"/>
      <c r="AF16" s="90"/>
    </row>
    <row r="17" spans="1:32" x14ac:dyDescent="0.25">
      <c r="A17" s="129" t="s">
        <v>665</v>
      </c>
      <c r="B17" s="129"/>
      <c r="C17" s="331">
        <v>3.35</v>
      </c>
      <c r="D17" s="139"/>
      <c r="E17" s="139"/>
      <c r="F17" s="139"/>
      <c r="G17" s="139"/>
      <c r="H17" s="139"/>
      <c r="I17" s="129"/>
      <c r="U17" s="90"/>
      <c r="V17" s="90"/>
      <c r="W17" s="90"/>
      <c r="X17" s="90"/>
      <c r="Y17" s="90"/>
      <c r="Z17" s="90"/>
      <c r="AA17" s="90"/>
      <c r="AB17" s="90"/>
      <c r="AC17" s="90"/>
      <c r="AD17" s="90"/>
      <c r="AE17" s="90"/>
      <c r="AF17" s="90"/>
    </row>
    <row r="18" spans="1:32" x14ac:dyDescent="0.25">
      <c r="A18" s="129"/>
      <c r="B18" s="129"/>
      <c r="C18" s="140"/>
      <c r="D18" s="139"/>
      <c r="E18" s="139"/>
      <c r="F18" s="139"/>
      <c r="G18" s="139"/>
      <c r="H18" s="139"/>
      <c r="I18" s="129"/>
      <c r="U18" s="90"/>
      <c r="V18" s="90"/>
      <c r="W18" s="90"/>
      <c r="X18" s="90"/>
      <c r="Y18" s="90"/>
      <c r="Z18" s="90"/>
      <c r="AA18" s="90"/>
      <c r="AB18" s="90"/>
      <c r="AC18" s="90"/>
      <c r="AD18" s="90"/>
      <c r="AE18" s="90"/>
      <c r="AF18" s="90"/>
    </row>
    <row r="19" spans="1:32" x14ac:dyDescent="0.25">
      <c r="A19" s="129" t="s">
        <v>123</v>
      </c>
      <c r="B19" s="129"/>
      <c r="C19" s="692">
        <v>0.2</v>
      </c>
      <c r="D19" s="139"/>
      <c r="E19" s="672">
        <v>10</v>
      </c>
      <c r="F19" s="139"/>
      <c r="G19" s="139"/>
      <c r="H19" s="139"/>
      <c r="I19" s="129"/>
      <c r="U19" s="90"/>
      <c r="V19" s="90"/>
      <c r="W19" s="90"/>
      <c r="X19" s="90"/>
      <c r="Y19" s="90"/>
      <c r="Z19" s="90"/>
      <c r="AA19" s="90"/>
      <c r="AB19" s="90"/>
      <c r="AC19" s="90"/>
      <c r="AD19" s="90"/>
      <c r="AE19" s="90"/>
      <c r="AF19" s="90"/>
    </row>
    <row r="20" spans="1:32" x14ac:dyDescent="0.25">
      <c r="A20" s="129"/>
      <c r="B20" s="129"/>
      <c r="C20" s="140"/>
      <c r="D20" s="139"/>
      <c r="E20" s="139"/>
      <c r="F20" s="139"/>
      <c r="G20" s="139"/>
      <c r="H20" s="139"/>
      <c r="I20" s="129"/>
      <c r="U20" s="90"/>
      <c r="V20" s="90"/>
      <c r="W20" s="90"/>
      <c r="X20" s="90"/>
      <c r="Y20" s="90"/>
      <c r="Z20" s="90"/>
      <c r="AA20" s="90"/>
      <c r="AB20" s="90"/>
      <c r="AC20" s="90"/>
      <c r="AD20" s="90"/>
      <c r="AE20" s="90"/>
      <c r="AF20" s="90"/>
    </row>
    <row r="21" spans="1:32" x14ac:dyDescent="0.25">
      <c r="A21" s="319" t="s">
        <v>567</v>
      </c>
      <c r="B21" s="129"/>
      <c r="C21" s="670">
        <v>0.15</v>
      </c>
      <c r="D21" s="139"/>
      <c r="E21" s="139"/>
      <c r="F21" s="139"/>
      <c r="G21" s="429">
        <v>0.3</v>
      </c>
      <c r="H21" s="139"/>
      <c r="I21" s="129"/>
      <c r="U21" s="90"/>
      <c r="V21" s="90"/>
      <c r="W21" s="90"/>
      <c r="X21" s="90"/>
      <c r="Y21" s="90"/>
      <c r="Z21" s="90"/>
      <c r="AA21" s="90"/>
      <c r="AB21" s="90"/>
      <c r="AC21" s="90"/>
      <c r="AD21" s="90"/>
      <c r="AE21" s="90"/>
      <c r="AF21" s="90"/>
    </row>
    <row r="22" spans="1:32" x14ac:dyDescent="0.25">
      <c r="A22" s="129"/>
      <c r="B22" s="129"/>
      <c r="C22" s="324"/>
      <c r="D22" s="139"/>
      <c r="E22" s="139"/>
      <c r="F22" s="139"/>
      <c r="G22" s="139"/>
      <c r="H22" s="139"/>
      <c r="I22" s="129"/>
      <c r="U22" s="90"/>
      <c r="V22" s="90"/>
      <c r="W22" s="90"/>
      <c r="X22" s="90"/>
      <c r="Y22" s="90"/>
      <c r="Z22" s="90"/>
      <c r="AA22" s="90"/>
      <c r="AB22" s="90"/>
      <c r="AC22" s="90"/>
      <c r="AD22" s="90"/>
      <c r="AE22" s="90"/>
      <c r="AF22" s="90"/>
    </row>
    <row r="23" spans="1:32" x14ac:dyDescent="0.25">
      <c r="A23" s="130" t="s">
        <v>568</v>
      </c>
      <c r="B23" s="129"/>
      <c r="C23" s="697">
        <v>0.25</v>
      </c>
      <c r="D23" s="139"/>
      <c r="E23" s="139"/>
      <c r="F23" s="139"/>
      <c r="G23" s="139"/>
      <c r="H23" s="139"/>
      <c r="I23" s="129"/>
      <c r="U23" s="90"/>
      <c r="V23" s="90"/>
      <c r="W23" s="90"/>
      <c r="X23" s="90"/>
      <c r="Y23" s="90"/>
      <c r="Z23" s="90"/>
      <c r="AA23" s="90"/>
      <c r="AB23" s="90"/>
      <c r="AC23" s="90"/>
      <c r="AD23" s="90"/>
      <c r="AE23" s="90"/>
      <c r="AF23" s="90"/>
    </row>
    <row r="24" spans="1:32" x14ac:dyDescent="0.25">
      <c r="A24" s="129"/>
      <c r="B24" s="129"/>
      <c r="C24" s="140"/>
      <c r="D24" s="139"/>
      <c r="E24" s="139"/>
      <c r="F24" s="139"/>
      <c r="G24" s="139"/>
      <c r="H24" s="698" t="s">
        <v>687</v>
      </c>
      <c r="I24" s="699">
        <v>0.3</v>
      </c>
      <c r="U24" s="90"/>
      <c r="V24" s="90"/>
      <c r="W24" s="90"/>
      <c r="X24" s="90"/>
      <c r="Y24" s="90"/>
      <c r="Z24" s="90"/>
      <c r="AA24" s="90"/>
      <c r="AB24" s="90"/>
      <c r="AC24" s="90"/>
      <c r="AD24" s="90"/>
      <c r="AE24" s="90"/>
      <c r="AF24" s="90"/>
    </row>
    <row r="25" spans="1:32" x14ac:dyDescent="0.25">
      <c r="A25" s="129"/>
      <c r="B25" s="129"/>
      <c r="C25" s="139"/>
      <c r="D25" s="139"/>
      <c r="E25" s="140">
        <f>+(E19+2*C19+2*G21)</f>
        <v>11</v>
      </c>
      <c r="F25" s="139"/>
      <c r="G25" s="139"/>
      <c r="H25" s="319" t="s">
        <v>125</v>
      </c>
      <c r="I25" s="699">
        <v>0.3</v>
      </c>
      <c r="U25" s="90"/>
      <c r="V25" s="90"/>
      <c r="W25" s="90"/>
      <c r="X25" s="90"/>
      <c r="Y25" s="90"/>
      <c r="Z25" s="90"/>
      <c r="AA25" s="90"/>
      <c r="AB25" s="90"/>
      <c r="AC25" s="90"/>
      <c r="AD25" s="90"/>
      <c r="AE25" s="90"/>
      <c r="AF25" s="90"/>
    </row>
    <row r="26" spans="1:32" x14ac:dyDescent="0.25">
      <c r="A26" s="129"/>
      <c r="B26" s="129"/>
      <c r="C26" s="129"/>
      <c r="D26" s="129"/>
      <c r="E26" s="129"/>
      <c r="F26" s="129"/>
      <c r="G26" s="129"/>
      <c r="H26" s="129"/>
      <c r="I26" s="129"/>
      <c r="U26" s="90"/>
      <c r="V26" s="90"/>
      <c r="W26" s="90"/>
      <c r="X26" s="90"/>
      <c r="Y26" s="90"/>
      <c r="Z26" s="90"/>
      <c r="AA26" s="90"/>
      <c r="AB26" s="90"/>
      <c r="AC26" s="90"/>
      <c r="AD26" s="90"/>
      <c r="AE26" s="90"/>
      <c r="AF26" s="90"/>
    </row>
    <row r="27" spans="1:32" x14ac:dyDescent="0.25">
      <c r="A27" s="129"/>
      <c r="B27" s="129"/>
      <c r="C27" s="129"/>
      <c r="D27" s="532" t="s">
        <v>688</v>
      </c>
      <c r="E27" s="534"/>
      <c r="F27" s="676"/>
      <c r="G27" s="189"/>
      <c r="H27" s="129"/>
      <c r="I27" s="129"/>
      <c r="U27" s="90"/>
      <c r="V27" s="90"/>
      <c r="W27" s="90"/>
      <c r="X27" s="90"/>
      <c r="Y27" s="90"/>
      <c r="Z27" s="90"/>
      <c r="AA27" s="90"/>
      <c r="AB27" s="90"/>
      <c r="AC27" s="90"/>
      <c r="AD27" s="90"/>
      <c r="AE27" s="90"/>
      <c r="AF27" s="90"/>
    </row>
    <row r="28" spans="1:32" x14ac:dyDescent="0.25">
      <c r="A28" s="129"/>
      <c r="B28" s="129"/>
      <c r="C28" s="129"/>
      <c r="D28" s="129"/>
      <c r="E28" s="129"/>
      <c r="F28" s="129"/>
      <c r="G28" s="129"/>
      <c r="H28" s="129"/>
      <c r="I28" s="129"/>
      <c r="U28" s="90"/>
      <c r="V28" s="90"/>
      <c r="W28" s="90"/>
      <c r="X28" s="90"/>
      <c r="Y28" s="90"/>
      <c r="Z28" s="90"/>
      <c r="AA28" s="90"/>
      <c r="AB28" s="90"/>
      <c r="AC28" s="90"/>
      <c r="AD28" s="90"/>
      <c r="AE28" s="90"/>
      <c r="AF28" s="90"/>
    </row>
    <row r="29" spans="1:32" x14ac:dyDescent="0.25">
      <c r="A29" s="129"/>
      <c r="B29" s="129"/>
      <c r="C29" s="129"/>
      <c r="D29" s="129"/>
      <c r="E29" s="129"/>
      <c r="F29" s="129"/>
      <c r="G29" s="129"/>
      <c r="H29" s="129"/>
      <c r="I29" s="129"/>
      <c r="U29" s="90"/>
      <c r="V29" s="90"/>
      <c r="W29" s="90"/>
      <c r="X29" s="90"/>
      <c r="Y29" s="90"/>
      <c r="Z29" s="90"/>
      <c r="AA29" s="90"/>
      <c r="AB29" s="90"/>
      <c r="AC29" s="90"/>
      <c r="AD29" s="90"/>
      <c r="AE29" s="90"/>
      <c r="AF29" s="90"/>
    </row>
    <row r="30" spans="1:32" x14ac:dyDescent="0.25">
      <c r="A30" s="129"/>
      <c r="B30" s="129"/>
      <c r="C30" s="129"/>
      <c r="D30" s="129"/>
      <c r="E30" s="129"/>
      <c r="F30" s="129"/>
      <c r="G30" s="129"/>
      <c r="H30" s="129"/>
      <c r="I30" s="129"/>
      <c r="U30" s="90"/>
      <c r="V30" s="90"/>
      <c r="W30" s="90"/>
      <c r="X30" s="90"/>
      <c r="Y30" s="90"/>
      <c r="Z30" s="90"/>
      <c r="AA30" s="90"/>
      <c r="AB30" s="90"/>
      <c r="AC30" s="90"/>
      <c r="AD30" s="90"/>
      <c r="AE30" s="90"/>
      <c r="AF30" s="90"/>
    </row>
    <row r="31" spans="1:32" x14ac:dyDescent="0.25">
      <c r="A31" s="700" t="s">
        <v>676</v>
      </c>
      <c r="B31" s="302"/>
      <c r="C31" s="302"/>
      <c r="D31" s="525">
        <f>+ROUNDDOWN(PI()*(E19^2)*0.25*(C17+C14-C21-C13),0)</f>
        <v>251</v>
      </c>
      <c r="E31" s="129" t="s">
        <v>20</v>
      </c>
      <c r="F31" s="129"/>
      <c r="G31" s="129"/>
      <c r="H31" s="129"/>
      <c r="I31" s="129"/>
      <c r="U31" s="90"/>
      <c r="V31" s="90"/>
      <c r="W31" s="90"/>
      <c r="X31" s="90"/>
      <c r="Y31" s="90"/>
      <c r="Z31" s="90"/>
      <c r="AA31" s="90"/>
      <c r="AB31" s="90"/>
      <c r="AC31" s="90"/>
      <c r="AD31" s="90"/>
      <c r="AE31" s="90"/>
      <c r="AF31" s="90"/>
    </row>
    <row r="32" spans="1:32" x14ac:dyDescent="0.25">
      <c r="A32" s="302" t="s">
        <v>677</v>
      </c>
      <c r="B32" s="302"/>
      <c r="C32" s="302"/>
      <c r="D32" s="525">
        <f>+ROUNDDOWN(PI()*(E19^2)*0.25*(C17+C14-C13),0)</f>
        <v>263</v>
      </c>
      <c r="E32" s="129" t="s">
        <v>20</v>
      </c>
      <c r="F32" s="129"/>
      <c r="G32" s="129"/>
      <c r="H32" s="129"/>
      <c r="I32" s="129"/>
      <c r="U32" s="90"/>
      <c r="V32" s="90"/>
      <c r="W32" s="90"/>
      <c r="X32" s="90"/>
      <c r="Y32" s="90"/>
      <c r="Z32" s="90"/>
      <c r="AA32" s="90"/>
      <c r="AB32" s="90"/>
      <c r="AC32" s="90"/>
      <c r="AD32" s="90"/>
      <c r="AE32" s="90"/>
      <c r="AF32" s="90"/>
    </row>
    <row r="33" spans="1:32" x14ac:dyDescent="0.25">
      <c r="A33" s="701" t="s">
        <v>127</v>
      </c>
      <c r="B33" s="702"/>
      <c r="C33" s="703"/>
      <c r="D33" s="556" t="s">
        <v>572</v>
      </c>
      <c r="E33" s="129"/>
      <c r="F33" s="129"/>
      <c r="G33" s="129"/>
      <c r="H33" s="129"/>
      <c r="I33" s="129"/>
      <c r="U33" s="90"/>
      <c r="V33" s="90"/>
      <c r="W33" s="90"/>
      <c r="X33" s="90"/>
      <c r="Y33" s="90"/>
      <c r="Z33" s="90"/>
      <c r="AA33" s="90"/>
      <c r="AB33" s="90"/>
      <c r="AC33" s="90"/>
      <c r="AD33" s="90"/>
      <c r="AE33" s="90"/>
      <c r="AF33" s="90"/>
    </row>
    <row r="34" spans="1:32" x14ac:dyDescent="0.25">
      <c r="A34" s="129" t="s">
        <v>129</v>
      </c>
      <c r="B34" s="129"/>
      <c r="C34" s="129"/>
      <c r="D34" s="139" t="s">
        <v>130</v>
      </c>
      <c r="E34" s="129"/>
      <c r="F34" s="129"/>
      <c r="G34" s="129"/>
      <c r="H34" s="129"/>
      <c r="I34" s="129"/>
      <c r="U34" s="90"/>
      <c r="V34" s="90"/>
      <c r="W34" s="90"/>
      <c r="X34" s="90"/>
      <c r="Y34" s="90"/>
      <c r="Z34" s="90"/>
      <c r="AA34" s="90"/>
      <c r="AB34" s="90"/>
      <c r="AC34" s="90"/>
      <c r="AD34" s="90"/>
      <c r="AE34" s="90"/>
      <c r="AF34" s="90"/>
    </row>
    <row r="35" spans="1:32" x14ac:dyDescent="0.25">
      <c r="A35" s="130" t="s">
        <v>689</v>
      </c>
      <c r="B35" s="129"/>
      <c r="C35" s="129"/>
      <c r="D35" s="129"/>
      <c r="E35" s="129"/>
      <c r="F35" s="129"/>
      <c r="G35" s="129"/>
      <c r="H35" s="129"/>
      <c r="I35" s="129"/>
      <c r="U35" s="90"/>
      <c r="V35" s="90"/>
      <c r="W35" s="90"/>
      <c r="X35" s="90"/>
      <c r="Y35" s="90"/>
      <c r="Z35" s="90"/>
      <c r="AA35" s="90"/>
      <c r="AB35" s="90"/>
      <c r="AC35" s="90"/>
      <c r="AD35" s="90"/>
      <c r="AE35" s="90"/>
      <c r="AF35" s="90"/>
    </row>
    <row r="36" spans="1:32" x14ac:dyDescent="0.25">
      <c r="A36" s="130" t="s">
        <v>690</v>
      </c>
      <c r="B36" s="129"/>
      <c r="C36" s="129"/>
      <c r="D36" s="129"/>
      <c r="E36" s="129"/>
      <c r="F36" s="129"/>
      <c r="G36" s="129"/>
      <c r="H36" s="129"/>
      <c r="I36" s="129"/>
      <c r="U36" s="90"/>
      <c r="V36" s="90"/>
      <c r="W36" s="90"/>
      <c r="X36" s="90"/>
      <c r="Y36" s="90"/>
      <c r="Z36" s="90"/>
      <c r="AA36" s="90"/>
      <c r="AB36" s="90"/>
      <c r="AC36" s="90"/>
      <c r="AD36" s="90"/>
      <c r="AE36" s="90"/>
      <c r="AF36" s="90"/>
    </row>
    <row r="37" spans="1:32" x14ac:dyDescent="0.25">
      <c r="A37" s="105"/>
      <c r="E37" s="97"/>
      <c r="U37" s="90"/>
      <c r="V37" s="90"/>
      <c r="W37" s="90"/>
      <c r="X37" s="90"/>
      <c r="Y37" s="90"/>
      <c r="Z37" s="90"/>
      <c r="AA37" s="90"/>
      <c r="AB37" s="90"/>
      <c r="AC37" s="90"/>
      <c r="AD37" s="90"/>
      <c r="AE37" s="90"/>
      <c r="AF37" s="90"/>
    </row>
    <row r="40" spans="1:32" x14ac:dyDescent="0.25">
      <c r="A40" s="2104" t="str">
        <f>+A2</f>
        <v>CPWS SCHEME TO                                                                                                       DISTRICT</v>
      </c>
      <c r="B40" s="2104"/>
      <c r="C40" s="2104"/>
      <c r="D40" s="2104"/>
      <c r="E40" s="2104"/>
      <c r="F40" s="2104"/>
      <c r="G40" s="2104"/>
      <c r="H40" s="2104"/>
      <c r="I40" s="2104"/>
    </row>
    <row r="41" spans="1:32" x14ac:dyDescent="0.25">
      <c r="A41" s="704" t="s">
        <v>691</v>
      </c>
      <c r="B41" s="135"/>
      <c r="C41" s="135"/>
      <c r="D41" s="135"/>
      <c r="E41" s="135"/>
      <c r="F41" s="135"/>
      <c r="G41" s="176" t="s">
        <v>282</v>
      </c>
      <c r="H41" s="396">
        <f>+I79/100000</f>
        <v>16.75</v>
      </c>
      <c r="I41" s="100" t="s">
        <v>283</v>
      </c>
    </row>
    <row r="42" spans="1:32" x14ac:dyDescent="0.25">
      <c r="A42" s="705" t="s">
        <v>692</v>
      </c>
      <c r="B42" s="90"/>
      <c r="C42" s="90"/>
      <c r="D42" s="90"/>
      <c r="E42" s="90"/>
      <c r="F42" s="90"/>
      <c r="G42" s="187">
        <f>+D31*1000</f>
        <v>251000</v>
      </c>
      <c r="H42" s="407" t="s">
        <v>693</v>
      </c>
      <c r="I42" s="100"/>
    </row>
    <row r="43" spans="1:32" x14ac:dyDescent="0.25">
      <c r="A43" s="706" t="s">
        <v>137</v>
      </c>
      <c r="B43" s="2149" t="s">
        <v>138</v>
      </c>
      <c r="C43" s="2149"/>
      <c r="D43" s="2149"/>
      <c r="E43" s="2150" t="s">
        <v>139</v>
      </c>
      <c r="F43" s="2150"/>
      <c r="G43" s="2150"/>
      <c r="H43" s="707" t="s">
        <v>140</v>
      </c>
      <c r="I43" s="708" t="s">
        <v>141</v>
      </c>
    </row>
    <row r="44" spans="1:32" ht="45" customHeight="1" x14ac:dyDescent="0.25">
      <c r="A44" s="146" t="s">
        <v>402</v>
      </c>
      <c r="B44" s="2094" t="s">
        <v>142</v>
      </c>
      <c r="C44" s="2093"/>
      <c r="D44" s="2093"/>
      <c r="E44" s="2093"/>
      <c r="F44" s="90"/>
      <c r="G44" s="90"/>
      <c r="H44" s="90"/>
      <c r="I44" s="90"/>
    </row>
    <row r="45" spans="1:32" x14ac:dyDescent="0.25">
      <c r="A45" s="375"/>
      <c r="B45" s="166" t="s">
        <v>694</v>
      </c>
      <c r="C45" s="709" t="s">
        <v>143</v>
      </c>
      <c r="D45" s="150">
        <f>+(E19+2*RAM!T23+2*G21+2*0.6)</f>
        <v>11.799999999999999</v>
      </c>
      <c r="E45" s="150">
        <f>+D45</f>
        <v>11.799999999999999</v>
      </c>
      <c r="F45" s="150">
        <f>RAM!I14</f>
        <v>3</v>
      </c>
      <c r="G45" s="150">
        <f>+PI()*D45^2*0.25*F45</f>
        <v>328.07652081438204</v>
      </c>
      <c r="H45" s="150">
        <f>Data!I12</f>
        <v>158.80000000000001</v>
      </c>
      <c r="I45" s="152">
        <f>+ROUND(H45*G45,0)</f>
        <v>52099</v>
      </c>
    </row>
    <row r="46" spans="1:32" x14ac:dyDescent="0.25">
      <c r="A46" s="375"/>
      <c r="B46" s="147" t="s">
        <v>695</v>
      </c>
      <c r="C46" s="709" t="s">
        <v>143</v>
      </c>
      <c r="D46" s="150">
        <f>+(E19+2*RAM!T23+2*G21+2*0.6)</f>
        <v>11.799999999999999</v>
      </c>
      <c r="E46" s="150">
        <f>+D46</f>
        <v>11.799999999999999</v>
      </c>
      <c r="F46" s="150">
        <f>RAM!I15</f>
        <v>1.2000000000000002</v>
      </c>
      <c r="G46" s="150">
        <f>+PI()*D46^2*0.25*F46</f>
        <v>131.23060832575283</v>
      </c>
      <c r="H46" s="150">
        <f>Data!I18</f>
        <v>204.2</v>
      </c>
      <c r="I46" s="152">
        <f>+ROUND(H46*G46,0)</f>
        <v>26797</v>
      </c>
    </row>
    <row r="47" spans="1:32" x14ac:dyDescent="0.25">
      <c r="A47" s="375"/>
      <c r="B47" s="147" t="s">
        <v>696</v>
      </c>
      <c r="C47" s="709" t="s">
        <v>143</v>
      </c>
      <c r="D47" s="150">
        <f>+D46</f>
        <v>11.799999999999999</v>
      </c>
      <c r="E47" s="150">
        <f>+D47</f>
        <v>11.799999999999999</v>
      </c>
      <c r="F47" s="150">
        <f>RAM!I16</f>
        <v>0</v>
      </c>
      <c r="G47" s="150">
        <f>+PI()*D47^2*0.25*F47</f>
        <v>0</v>
      </c>
      <c r="H47" s="150">
        <f>+H46</f>
        <v>204.2</v>
      </c>
      <c r="I47" s="152">
        <f>+ROUND(H47*G47,0)</f>
        <v>0</v>
      </c>
    </row>
    <row r="48" spans="1:32" ht="51" customHeight="1" x14ac:dyDescent="0.25">
      <c r="A48" s="146" t="s">
        <v>291</v>
      </c>
      <c r="B48" s="2094" t="s">
        <v>144</v>
      </c>
      <c r="C48" s="2093"/>
      <c r="D48" s="2093"/>
      <c r="E48" s="2093"/>
      <c r="F48" s="150"/>
      <c r="G48" s="150"/>
      <c r="H48" s="150"/>
      <c r="I48" s="152"/>
    </row>
    <row r="49" spans="1:14" x14ac:dyDescent="0.25">
      <c r="A49" s="375"/>
      <c r="B49" s="710"/>
      <c r="C49" s="711" t="s">
        <v>143</v>
      </c>
      <c r="D49" s="150">
        <f>+E25</f>
        <v>11</v>
      </c>
      <c r="E49" s="150">
        <f>+D49</f>
        <v>11</v>
      </c>
      <c r="F49" s="150">
        <f>+I24</f>
        <v>0.3</v>
      </c>
      <c r="G49" s="150">
        <f>+(22/28)*D49*E49*I24</f>
        <v>28.521428571428569</v>
      </c>
      <c r="H49" s="150">
        <f>Data!I44</f>
        <v>4470.5</v>
      </c>
      <c r="I49" s="152">
        <f>+ROUND(H49*G49,0)</f>
        <v>127505</v>
      </c>
    </row>
    <row r="50" spans="1:14" ht="57.75" customHeight="1" x14ac:dyDescent="0.25">
      <c r="A50" s="146" t="s">
        <v>697</v>
      </c>
      <c r="B50" s="2094" t="s">
        <v>145</v>
      </c>
      <c r="C50" s="2093"/>
      <c r="D50" s="2093"/>
      <c r="E50" s="2093"/>
      <c r="F50" s="150"/>
      <c r="G50" s="90"/>
      <c r="H50" s="90"/>
      <c r="I50" s="90"/>
    </row>
    <row r="51" spans="1:14" x14ac:dyDescent="0.25">
      <c r="A51" s="375"/>
      <c r="B51" s="147"/>
      <c r="C51" s="711" t="s">
        <v>143</v>
      </c>
      <c r="D51" s="150">
        <f>+E25</f>
        <v>11</v>
      </c>
      <c r="E51" s="150">
        <f>+D51</f>
        <v>11</v>
      </c>
      <c r="F51" s="150">
        <f>+I25</f>
        <v>0.3</v>
      </c>
      <c r="G51" s="150">
        <f>+(22/28)*D51*E51*I25</f>
        <v>28.521428571428569</v>
      </c>
      <c r="H51" s="150">
        <f>Data!I30</f>
        <v>937.7</v>
      </c>
      <c r="I51" s="152">
        <f>+ROUND(H51*G51,0)</f>
        <v>26745</v>
      </c>
    </row>
    <row r="52" spans="1:14" ht="64.5" customHeight="1" x14ac:dyDescent="0.25">
      <c r="A52" s="146" t="s">
        <v>698</v>
      </c>
      <c r="B52" s="2094" t="s">
        <v>699</v>
      </c>
      <c r="C52" s="2093"/>
      <c r="D52" s="2093"/>
      <c r="E52" s="2093"/>
      <c r="F52" s="90"/>
      <c r="G52" s="90"/>
      <c r="H52" s="90"/>
      <c r="I52" s="90"/>
      <c r="K52" s="448"/>
      <c r="L52" s="438"/>
      <c r="M52" s="438"/>
      <c r="N52" s="438"/>
    </row>
    <row r="53" spans="1:14" x14ac:dyDescent="0.25">
      <c r="A53" s="375"/>
      <c r="B53" s="147"/>
      <c r="C53" s="148" t="s">
        <v>143</v>
      </c>
      <c r="D53" s="90">
        <f>+E25</f>
        <v>11</v>
      </c>
      <c r="E53" s="90">
        <f>+D53</f>
        <v>11</v>
      </c>
      <c r="F53" s="150">
        <f>+C23</f>
        <v>0.25</v>
      </c>
      <c r="G53" s="150">
        <f>+(22/28)*D53^2*F53</f>
        <v>23.767857142857142</v>
      </c>
      <c r="H53" s="150">
        <f>Data!I423</f>
        <v>9199.4</v>
      </c>
      <c r="I53" s="152">
        <f>+ROUND(H53*G53,0)</f>
        <v>218650</v>
      </c>
    </row>
    <row r="54" spans="1:14" ht="60.75" customHeight="1" x14ac:dyDescent="0.25">
      <c r="A54" s="146" t="s">
        <v>700</v>
      </c>
      <c r="B54" s="2094" t="s">
        <v>701</v>
      </c>
      <c r="C54" s="2093"/>
      <c r="D54" s="2093"/>
      <c r="E54" s="2093"/>
      <c r="F54" s="90"/>
      <c r="G54" s="90"/>
      <c r="H54" s="90"/>
      <c r="I54" s="90"/>
    </row>
    <row r="55" spans="1:14" x14ac:dyDescent="0.25">
      <c r="A55" s="510"/>
      <c r="B55" s="147"/>
      <c r="C55" s="153" t="s">
        <v>147</v>
      </c>
      <c r="D55" s="150">
        <f>+E19+C19</f>
        <v>10.199999999999999</v>
      </c>
      <c r="E55" s="150">
        <f>+C14+C17</f>
        <v>3.65</v>
      </c>
      <c r="F55" s="150">
        <f>+C19</f>
        <v>0.2</v>
      </c>
      <c r="G55" s="150">
        <f>+(22/7)*D55*E55*F55</f>
        <v>23.401714285714288</v>
      </c>
      <c r="H55" s="150">
        <f>Data!I439</f>
        <v>15360</v>
      </c>
      <c r="I55" s="152">
        <f>+ROUND(H55*G55,0)</f>
        <v>359450</v>
      </c>
    </row>
    <row r="56" spans="1:14" ht="63.75" customHeight="1" x14ac:dyDescent="0.25">
      <c r="A56" s="146" t="s">
        <v>702</v>
      </c>
      <c r="B56" s="2094" t="s">
        <v>703</v>
      </c>
      <c r="C56" s="2093"/>
      <c r="D56" s="2093"/>
      <c r="E56" s="2093"/>
      <c r="F56" s="90"/>
      <c r="G56" s="150"/>
      <c r="H56" s="90"/>
      <c r="I56" s="152"/>
    </row>
    <row r="57" spans="1:14" x14ac:dyDescent="0.25">
      <c r="A57" s="375"/>
      <c r="B57" s="90"/>
      <c r="C57" s="153" t="s">
        <v>704</v>
      </c>
      <c r="D57" s="150">
        <f>+F15</f>
        <v>8</v>
      </c>
      <c r="E57" s="150">
        <f>+F10</f>
        <v>2</v>
      </c>
      <c r="F57" s="150">
        <f>+C8</f>
        <v>0.1</v>
      </c>
      <c r="G57" s="150">
        <f>+(2*(3.14285714285714)*D57*E57*F57)</f>
        <v>10.05714285714285</v>
      </c>
      <c r="H57" s="150">
        <f>Data!I629</f>
        <v>38737.5</v>
      </c>
      <c r="I57" s="152">
        <f>+ROUND(H57*G57,0)</f>
        <v>389589</v>
      </c>
    </row>
    <row r="58" spans="1:14" ht="66" customHeight="1" x14ac:dyDescent="0.25">
      <c r="A58" s="146" t="s">
        <v>705</v>
      </c>
      <c r="B58" s="2094" t="s">
        <v>706</v>
      </c>
      <c r="C58" s="2093"/>
      <c r="D58" s="2093"/>
      <c r="E58" s="2093"/>
      <c r="F58" s="150"/>
      <c r="G58" s="150"/>
      <c r="H58" s="150"/>
      <c r="I58" s="152"/>
    </row>
    <row r="59" spans="1:14" x14ac:dyDescent="0.25">
      <c r="A59" s="375"/>
      <c r="B59" s="380"/>
      <c r="C59" s="153" t="s">
        <v>147</v>
      </c>
      <c r="D59" s="150">
        <f>+E19+C11</f>
        <v>10.3</v>
      </c>
      <c r="E59" s="150">
        <f>+C12</f>
        <v>0.3</v>
      </c>
      <c r="F59" s="150">
        <f>+C11</f>
        <v>0.3</v>
      </c>
      <c r="G59" s="150">
        <f>+(3.14285714285714)*D59*E59*F59</f>
        <v>2.9134285714285686</v>
      </c>
      <c r="H59" s="150">
        <f>Data!I612</f>
        <v>12394.2</v>
      </c>
      <c r="I59" s="152">
        <f>+ROUND(H59*G59,0)</f>
        <v>36110</v>
      </c>
    </row>
    <row r="60" spans="1:14" ht="63.75" customHeight="1" x14ac:dyDescent="0.25">
      <c r="A60" s="146" t="s">
        <v>707</v>
      </c>
      <c r="B60" s="2094" t="s">
        <v>576</v>
      </c>
      <c r="C60" s="2093"/>
      <c r="D60" s="2093"/>
      <c r="E60" s="2093"/>
      <c r="F60" s="150"/>
      <c r="G60" s="150"/>
      <c r="H60" s="150"/>
      <c r="I60" s="152"/>
    </row>
    <row r="61" spans="1:14" x14ac:dyDescent="0.25">
      <c r="A61" s="375"/>
      <c r="B61" s="2092" t="s">
        <v>302</v>
      </c>
      <c r="C61" s="2093"/>
      <c r="D61" s="148" t="s">
        <v>143</v>
      </c>
      <c r="E61" s="150">
        <f>+E19</f>
        <v>10</v>
      </c>
      <c r="F61" s="150">
        <f>+E61</f>
        <v>10</v>
      </c>
      <c r="G61" s="150">
        <f>+ROUND((0.785714285714286)*F61*E61,2)</f>
        <v>78.569999999999993</v>
      </c>
      <c r="H61" s="90"/>
      <c r="I61" s="90"/>
    </row>
    <row r="62" spans="1:14" x14ac:dyDescent="0.25">
      <c r="A62" s="375"/>
      <c r="B62" s="2092" t="s">
        <v>304</v>
      </c>
      <c r="C62" s="2093"/>
      <c r="D62" s="153" t="s">
        <v>147</v>
      </c>
      <c r="E62" s="150">
        <f>+E19</f>
        <v>10</v>
      </c>
      <c r="F62" s="150">
        <f>+C17+C14</f>
        <v>3.65</v>
      </c>
      <c r="G62" s="150">
        <f>+ROUND((22/7)*E62*C17,2)</f>
        <v>105.29</v>
      </c>
      <c r="H62" s="90"/>
      <c r="I62" s="90"/>
    </row>
    <row r="63" spans="1:14" x14ac:dyDescent="0.25">
      <c r="A63" s="375"/>
      <c r="B63" s="2092" t="s">
        <v>708</v>
      </c>
      <c r="C63" s="2093"/>
      <c r="D63" s="153" t="s">
        <v>709</v>
      </c>
      <c r="E63" s="150">
        <f>+F15</f>
        <v>8</v>
      </c>
      <c r="F63" s="150">
        <f>+F10</f>
        <v>2</v>
      </c>
      <c r="G63" s="150">
        <f>+ROUND((3.14285714285714)*E63*F63*2,2)</f>
        <v>100.57</v>
      </c>
      <c r="H63" s="90"/>
      <c r="I63" s="90"/>
    </row>
    <row r="64" spans="1:14" x14ac:dyDescent="0.25">
      <c r="A64" s="375"/>
      <c r="B64" s="147"/>
      <c r="C64" s="90"/>
      <c r="D64" s="90"/>
      <c r="E64" s="90"/>
      <c r="F64" s="192" t="s">
        <v>23</v>
      </c>
      <c r="G64" s="150">
        <f>SUM(G61:G63)</f>
        <v>284.43</v>
      </c>
      <c r="H64" s="150">
        <f>Data!H233</f>
        <v>1619.7</v>
      </c>
      <c r="I64" s="152">
        <f>+ROUND(H64*G64*0.1,0)</f>
        <v>46069</v>
      </c>
    </row>
    <row r="65" spans="1:15" ht="59.25" customHeight="1" x14ac:dyDescent="0.25">
      <c r="A65" s="146" t="s">
        <v>710</v>
      </c>
      <c r="B65" s="2094" t="s">
        <v>151</v>
      </c>
      <c r="C65" s="2093"/>
      <c r="D65" s="2093"/>
      <c r="E65" s="2093"/>
      <c r="F65" s="90"/>
      <c r="G65" s="90"/>
      <c r="H65" s="90"/>
      <c r="I65" s="90"/>
    </row>
    <row r="66" spans="1:15" x14ac:dyDescent="0.25">
      <c r="A66" s="375"/>
      <c r="B66" s="2092" t="s">
        <v>711</v>
      </c>
      <c r="C66" s="2093"/>
      <c r="D66" s="150"/>
      <c r="E66" s="150">
        <f>+(E19+2*C19)</f>
        <v>10.4</v>
      </c>
      <c r="F66" s="150">
        <f>+C14</f>
        <v>0.3</v>
      </c>
      <c r="G66" s="150">
        <f>+(3.14285714285714)*E66*F66</f>
        <v>9.8057142857142789</v>
      </c>
      <c r="H66" s="150">
        <f>Data!I670</f>
        <v>1491.9</v>
      </c>
      <c r="I66" s="152">
        <f>+ROUND(H66*G66*0.1,0)</f>
        <v>1463</v>
      </c>
    </row>
    <row r="67" spans="1:15" ht="53.25" customHeight="1" x14ac:dyDescent="0.25">
      <c r="A67" s="146" t="s">
        <v>712</v>
      </c>
      <c r="B67" s="2094" t="s">
        <v>306</v>
      </c>
      <c r="C67" s="2093"/>
      <c r="D67" s="2093"/>
      <c r="E67" s="2093"/>
      <c r="F67" s="90"/>
      <c r="G67" s="90"/>
      <c r="H67" s="90"/>
      <c r="I67" s="90"/>
    </row>
    <row r="68" spans="1:15" x14ac:dyDescent="0.25">
      <c r="A68" s="375"/>
      <c r="B68" s="2092" t="s">
        <v>713</v>
      </c>
      <c r="C68" s="2093"/>
      <c r="D68" s="153" t="s">
        <v>147</v>
      </c>
      <c r="E68" s="150">
        <f>+(E19+2*C19)</f>
        <v>10.4</v>
      </c>
      <c r="F68" s="150">
        <f>+C14</f>
        <v>0.3</v>
      </c>
      <c r="G68" s="150">
        <f>+(3.14285714285714)*E68*F68</f>
        <v>9.8057142857142789</v>
      </c>
      <c r="H68" s="90"/>
      <c r="I68" s="90"/>
    </row>
    <row r="69" spans="1:15" x14ac:dyDescent="0.25">
      <c r="A69" s="375"/>
      <c r="B69" s="2092" t="s">
        <v>595</v>
      </c>
      <c r="C69" s="2093"/>
      <c r="D69" s="153" t="s">
        <v>147</v>
      </c>
      <c r="E69" s="90">
        <f>+(E19+2*C11)</f>
        <v>10.6</v>
      </c>
      <c r="F69" s="150">
        <f>+C12+C11+(C11-C19)</f>
        <v>0.7</v>
      </c>
      <c r="G69" s="150">
        <f>+(3.14285714285714)*E69*F69</f>
        <v>23.319999999999975</v>
      </c>
      <c r="H69" s="712"/>
      <c r="I69" s="90"/>
    </row>
    <row r="70" spans="1:15" x14ac:dyDescent="0.25">
      <c r="A70" s="375"/>
      <c r="B70" s="2092" t="s">
        <v>714</v>
      </c>
      <c r="C70" s="2093"/>
      <c r="D70" s="153" t="s">
        <v>709</v>
      </c>
      <c r="E70" s="150">
        <f>+F15</f>
        <v>8</v>
      </c>
      <c r="F70" s="150">
        <f>+F10</f>
        <v>2</v>
      </c>
      <c r="G70" s="150">
        <f>+(2*(3.14285714285714)*E70*F70)</f>
        <v>100.57142857142848</v>
      </c>
      <c r="H70" s="90"/>
      <c r="I70" s="152"/>
    </row>
    <row r="71" spans="1:15" x14ac:dyDescent="0.25">
      <c r="A71" s="375"/>
      <c r="B71" s="166"/>
      <c r="C71" s="90"/>
      <c r="D71" s="90"/>
      <c r="E71" s="90"/>
      <c r="F71" s="192" t="s">
        <v>23</v>
      </c>
      <c r="G71" s="150">
        <f>SUM(G68:G70)</f>
        <v>133.69714285714275</v>
      </c>
      <c r="H71" s="150">
        <f>Data!I679</f>
        <v>1202.7</v>
      </c>
      <c r="I71" s="152">
        <f>+ROUND(H71*G71*0.1,0)</f>
        <v>16080</v>
      </c>
    </row>
    <row r="72" spans="1:15" ht="42" customHeight="1" x14ac:dyDescent="0.25">
      <c r="A72" s="146" t="s">
        <v>715</v>
      </c>
      <c r="B72" s="2092" t="s">
        <v>716</v>
      </c>
      <c r="C72" s="2093"/>
      <c r="D72" s="2093"/>
      <c r="E72" s="2093"/>
      <c r="F72" s="90"/>
      <c r="G72" s="90"/>
      <c r="H72" s="90"/>
      <c r="I72" s="90"/>
      <c r="K72" s="146"/>
      <c r="L72" s="448"/>
      <c r="M72" s="438"/>
      <c r="N72" s="438"/>
      <c r="O72" s="438"/>
    </row>
    <row r="73" spans="1:15" x14ac:dyDescent="0.25">
      <c r="A73" s="375"/>
      <c r="B73" s="90"/>
      <c r="C73" s="90"/>
      <c r="D73" s="90"/>
      <c r="E73" s="90"/>
      <c r="F73" s="90"/>
      <c r="G73" s="713">
        <f>(G53+G55+G57+G59)*0.085</f>
        <v>5.1119121428571423</v>
      </c>
      <c r="H73" s="150">
        <f>Data!H327</f>
        <v>60670.400000000001</v>
      </c>
      <c r="I73" s="152">
        <f>+ROUND(H73*G73,0)</f>
        <v>310142</v>
      </c>
    </row>
    <row r="74" spans="1:15" x14ac:dyDescent="0.25">
      <c r="A74" s="146" t="s">
        <v>717</v>
      </c>
      <c r="B74" s="2092" t="s">
        <v>718</v>
      </c>
      <c r="C74" s="2093"/>
      <c r="D74" s="2093"/>
      <c r="E74" s="2093"/>
      <c r="F74" s="90" t="s">
        <v>100</v>
      </c>
      <c r="G74" s="90"/>
      <c r="H74" s="90"/>
      <c r="I74" s="90"/>
    </row>
    <row r="75" spans="1:15" x14ac:dyDescent="0.25">
      <c r="A75" s="375"/>
      <c r="B75" s="170"/>
      <c r="C75" s="90"/>
      <c r="D75" s="90"/>
      <c r="E75" s="90"/>
      <c r="F75" s="90"/>
      <c r="G75" s="90"/>
      <c r="H75" s="150"/>
      <c r="I75" s="236">
        <v>3364</v>
      </c>
    </row>
    <row r="76" spans="1:15" x14ac:dyDescent="0.25">
      <c r="A76" s="146" t="s">
        <v>719</v>
      </c>
      <c r="B76" s="2092" t="s">
        <v>310</v>
      </c>
      <c r="C76" s="2093"/>
      <c r="D76" s="2093"/>
      <c r="E76" s="2093"/>
      <c r="F76" s="90"/>
      <c r="G76" s="90"/>
      <c r="H76" s="150"/>
      <c r="I76" s="152"/>
    </row>
    <row r="77" spans="1:15" x14ac:dyDescent="0.25">
      <c r="A77" s="375"/>
      <c r="B77" s="2145" t="str">
        <f>+CONCATENATE(+RAM!K15," Dia pipe ","2mt-",RAM!K16," ,0.9mt-",RAM!K17,",0.6mt-",RAM!K18,",Bellmouth-",RAM!K19, ",Duckfoot bend-",RAM!K20)</f>
        <v>250 Dia pipe 2mt-1 ,0.9mt-2,0.6mt-2,Bellmouth-1,Duckfoot bend-1</v>
      </c>
      <c r="C77" s="2146"/>
      <c r="D77" s="2146"/>
      <c r="E77" s="2147"/>
      <c r="F77" s="90"/>
      <c r="G77" s="90"/>
      <c r="H77" s="90"/>
      <c r="I77" s="714">
        <f>ROUND(RAM!L21*1.14,0)</f>
        <v>56376</v>
      </c>
    </row>
    <row r="78" spans="1:15" ht="24" customHeight="1" x14ac:dyDescent="0.25">
      <c r="A78" s="146" t="s">
        <v>720</v>
      </c>
      <c r="B78" s="2092" t="s">
        <v>312</v>
      </c>
      <c r="C78" s="2093"/>
      <c r="D78" s="2093"/>
      <c r="E78" s="2093"/>
      <c r="F78" s="90"/>
      <c r="G78" s="90"/>
      <c r="H78" s="90"/>
      <c r="I78" s="152">
        <f>+I79-SUM(I45:I77)</f>
        <v>4561</v>
      </c>
    </row>
    <row r="79" spans="1:15" ht="24.75" customHeight="1" x14ac:dyDescent="0.25">
      <c r="A79" s="375"/>
      <c r="B79" s="147"/>
      <c r="C79" s="90"/>
      <c r="D79" s="90"/>
      <c r="E79" s="90"/>
      <c r="F79" s="192"/>
      <c r="G79" s="150"/>
      <c r="H79" s="715" t="s">
        <v>23</v>
      </c>
      <c r="I79" s="716">
        <f>((INT(SUM(I45:I77)*0.00004))*25000)+25000</f>
        <v>1675000</v>
      </c>
    </row>
    <row r="80" spans="1:15" x14ac:dyDescent="0.25">
      <c r="A80" s="375"/>
      <c r="B80" s="147"/>
      <c r="C80" s="90"/>
      <c r="D80" s="90"/>
      <c r="E80" s="90"/>
      <c r="F80" s="90"/>
      <c r="G80" s="90"/>
      <c r="H80" s="90"/>
      <c r="I80" s="90"/>
    </row>
    <row r="81" spans="1:8" x14ac:dyDescent="0.25">
      <c r="B81" s="97"/>
      <c r="D81" s="97"/>
      <c r="E81" s="97"/>
      <c r="G81" s="110"/>
    </row>
    <row r="82" spans="1:8" x14ac:dyDescent="0.25">
      <c r="B82" s="97"/>
      <c r="D82" s="97"/>
      <c r="E82" s="97"/>
      <c r="G82" s="110"/>
    </row>
    <row r="84" spans="1:8" x14ac:dyDescent="0.25">
      <c r="A84" s="541"/>
      <c r="E84" s="717"/>
      <c r="F84" s="718"/>
      <c r="G84" s="717"/>
      <c r="H84" s="105"/>
    </row>
    <row r="85" spans="1:8" x14ac:dyDescent="0.25">
      <c r="A85" s="105"/>
    </row>
    <row r="87" spans="1:8" x14ac:dyDescent="0.25">
      <c r="A87" s="105"/>
    </row>
    <row r="90" spans="1:8" x14ac:dyDescent="0.25">
      <c r="A90" s="120"/>
      <c r="B90" s="105"/>
    </row>
    <row r="91" spans="1:8" x14ac:dyDescent="0.25">
      <c r="A91" s="120"/>
      <c r="H91" s="154"/>
    </row>
    <row r="92" spans="1:8" x14ac:dyDescent="0.25">
      <c r="A92" s="120"/>
      <c r="H92" s="154"/>
    </row>
    <row r="93" spans="1:8" x14ac:dyDescent="0.25">
      <c r="A93" s="120"/>
      <c r="H93" s="154"/>
    </row>
    <row r="94" spans="1:8" x14ac:dyDescent="0.25">
      <c r="A94" s="120"/>
      <c r="H94" s="154"/>
    </row>
    <row r="95" spans="1:8" x14ac:dyDescent="0.25">
      <c r="A95" s="120"/>
    </row>
    <row r="96" spans="1:8" x14ac:dyDescent="0.25">
      <c r="A96" s="120"/>
      <c r="H96" s="154"/>
    </row>
    <row r="97" spans="1:8" x14ac:dyDescent="0.25">
      <c r="A97" s="120"/>
    </row>
    <row r="98" spans="1:8" x14ac:dyDescent="0.25">
      <c r="A98" s="120"/>
      <c r="C98" s="105"/>
      <c r="H98" s="154"/>
    </row>
    <row r="99" spans="1:8" x14ac:dyDescent="0.25">
      <c r="A99" s="120"/>
    </row>
    <row r="100" spans="1:8" x14ac:dyDescent="0.25">
      <c r="A100" s="120"/>
      <c r="B100" s="105"/>
      <c r="H100" s="154"/>
    </row>
    <row r="101" spans="1:8" x14ac:dyDescent="0.25">
      <c r="A101" s="120"/>
    </row>
    <row r="102" spans="1:8" x14ac:dyDescent="0.25">
      <c r="A102" s="120"/>
      <c r="B102" s="541"/>
      <c r="H102" s="154"/>
    </row>
    <row r="103" spans="1:8" x14ac:dyDescent="0.25">
      <c r="A103" s="120"/>
      <c r="B103" s="154"/>
    </row>
    <row r="104" spans="1:8" x14ac:dyDescent="0.25">
      <c r="A104" s="120"/>
      <c r="B104" s="154"/>
    </row>
    <row r="105" spans="1:8" x14ac:dyDescent="0.25">
      <c r="A105" s="120"/>
      <c r="B105" s="105"/>
    </row>
    <row r="106" spans="1:8" x14ac:dyDescent="0.25">
      <c r="A106" s="120"/>
      <c r="B106" s="105"/>
      <c r="E106" s="717"/>
      <c r="F106" s="717"/>
      <c r="H106" s="154"/>
    </row>
    <row r="107" spans="1:8" x14ac:dyDescent="0.25">
      <c r="A107" s="120"/>
      <c r="B107" s="105"/>
      <c r="E107" s="717"/>
      <c r="H107" s="154"/>
    </row>
    <row r="108" spans="1:8" x14ac:dyDescent="0.25">
      <c r="A108" s="120"/>
    </row>
    <row r="109" spans="1:8" x14ac:dyDescent="0.25">
      <c r="A109" s="120"/>
      <c r="B109" s="105"/>
      <c r="H109" s="154"/>
    </row>
    <row r="110" spans="1:8" x14ac:dyDescent="0.25">
      <c r="A110" s="120"/>
      <c r="H110" s="154"/>
    </row>
    <row r="111" spans="1:8" x14ac:dyDescent="0.25">
      <c r="A111" s="120"/>
      <c r="B111" s="105"/>
      <c r="H111" s="154"/>
    </row>
    <row r="112" spans="1:8" x14ac:dyDescent="0.25">
      <c r="A112" s="120"/>
    </row>
    <row r="113" spans="1:8" x14ac:dyDescent="0.25">
      <c r="A113" s="120"/>
      <c r="H113" s="154"/>
    </row>
    <row r="114" spans="1:8" x14ac:dyDescent="0.25">
      <c r="A114" s="120"/>
    </row>
    <row r="115" spans="1:8" x14ac:dyDescent="0.25">
      <c r="A115" s="120"/>
    </row>
    <row r="117" spans="1:8" x14ac:dyDescent="0.25">
      <c r="A117" s="120"/>
    </row>
    <row r="119" spans="1:8" x14ac:dyDescent="0.25">
      <c r="A119" s="120"/>
      <c r="H119" s="154"/>
    </row>
    <row r="121" spans="1:8" x14ac:dyDescent="0.25">
      <c r="A121" s="120"/>
      <c r="B121" s="110"/>
    </row>
    <row r="122" spans="1:8" x14ac:dyDescent="0.25">
      <c r="B122" s="97"/>
    </row>
  </sheetData>
  <mergeCells count="26">
    <mergeCell ref="B48:E48"/>
    <mergeCell ref="A2:I2"/>
    <mergeCell ref="A40:I40"/>
    <mergeCell ref="B43:D43"/>
    <mergeCell ref="E43:G43"/>
    <mergeCell ref="B44:E44"/>
    <mergeCell ref="B67:E67"/>
    <mergeCell ref="B50:E50"/>
    <mergeCell ref="B52:E52"/>
    <mergeCell ref="B54:E54"/>
    <mergeCell ref="B56:E56"/>
    <mergeCell ref="B58:E58"/>
    <mergeCell ref="B60:E60"/>
    <mergeCell ref="B61:C61"/>
    <mergeCell ref="B62:C62"/>
    <mergeCell ref="B63:C63"/>
    <mergeCell ref="B65:E65"/>
    <mergeCell ref="B66:C66"/>
    <mergeCell ref="B77:E77"/>
    <mergeCell ref="B78:E78"/>
    <mergeCell ref="B68:C68"/>
    <mergeCell ref="B69:C69"/>
    <mergeCell ref="B70:C70"/>
    <mergeCell ref="B72:E72"/>
    <mergeCell ref="B74:E74"/>
    <mergeCell ref="B76:E7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1"/>
  <sheetViews>
    <sheetView topLeftCell="Q1" workbookViewId="0">
      <selection activeCell="S7" sqref="S7"/>
    </sheetView>
  </sheetViews>
  <sheetFormatPr defaultRowHeight="15" x14ac:dyDescent="0.25"/>
  <cols>
    <col min="1" max="16" width="13.5703125" hidden="1" customWidth="1"/>
    <col min="17" max="37" width="13.5703125" customWidth="1"/>
  </cols>
  <sheetData>
    <row r="1" spans="1:14" x14ac:dyDescent="0.25">
      <c r="C1" s="1890" t="str">
        <f>SSR!H3</f>
        <v>with SSR</v>
      </c>
      <c r="D1" s="1890" t="str">
        <f>SSR!I2</f>
        <v>2016-17</v>
      </c>
    </row>
    <row r="2" spans="1:14" x14ac:dyDescent="0.25">
      <c r="C2" s="719" t="s">
        <v>721</v>
      </c>
      <c r="D2" s="719"/>
      <c r="E2" s="720"/>
      <c r="F2" s="721">
        <f>SSR!E41</f>
        <v>73.7</v>
      </c>
    </row>
    <row r="3" spans="1:14" s="65" customFormat="1" x14ac:dyDescent="0.25">
      <c r="C3" s="722"/>
      <c r="D3" s="722"/>
      <c r="E3" s="723"/>
      <c r="F3" s="724"/>
    </row>
    <row r="4" spans="1:14" s="65" customFormat="1" x14ac:dyDescent="0.25">
      <c r="B4" s="2012" t="s">
        <v>722</v>
      </c>
      <c r="C4" s="2012"/>
      <c r="D4" s="725">
        <f>SSR!E39</f>
        <v>26000</v>
      </c>
      <c r="E4" s="723"/>
      <c r="F4" s="724"/>
    </row>
    <row r="5" spans="1:14" s="65" customFormat="1" x14ac:dyDescent="0.25">
      <c r="B5" s="2012" t="s">
        <v>723</v>
      </c>
      <c r="C5" s="2012"/>
      <c r="D5" s="725">
        <f>SSR!E40</f>
        <v>36570</v>
      </c>
      <c r="E5" s="723"/>
      <c r="F5" s="724"/>
    </row>
    <row r="6" spans="1:14" s="65" customFormat="1" x14ac:dyDescent="0.25">
      <c r="B6" s="236" t="s">
        <v>724</v>
      </c>
      <c r="C6" s="236"/>
      <c r="D6" s="236">
        <f>Lead!D26</f>
        <v>26000</v>
      </c>
      <c r="E6" s="723"/>
      <c r="F6" s="724"/>
    </row>
    <row r="7" spans="1:14" s="65" customFormat="1" x14ac:dyDescent="0.25">
      <c r="B7" s="236" t="s">
        <v>725</v>
      </c>
      <c r="C7" s="236"/>
      <c r="D7" s="236">
        <f>Lead!D27</f>
        <v>36570</v>
      </c>
      <c r="E7" s="723"/>
      <c r="F7" s="724"/>
    </row>
    <row r="8" spans="1:14" s="65" customFormat="1" x14ac:dyDescent="0.25">
      <c r="C8" s="722"/>
      <c r="D8" s="722"/>
      <c r="E8" s="723"/>
      <c r="F8" s="724"/>
    </row>
    <row r="9" spans="1:14" x14ac:dyDescent="0.25">
      <c r="A9" s="97" t="s">
        <v>726</v>
      </c>
    </row>
    <row r="11" spans="1:14" x14ac:dyDescent="0.25">
      <c r="A11" s="2009" t="s">
        <v>727</v>
      </c>
      <c r="B11" s="2009"/>
      <c r="C11" s="2009"/>
      <c r="D11" s="2009"/>
      <c r="E11" s="2009"/>
      <c r="F11" s="2009"/>
      <c r="G11" s="2009"/>
      <c r="H11" s="2009"/>
      <c r="I11" s="2009"/>
      <c r="K11" s="2010" t="s">
        <v>728</v>
      </c>
      <c r="L11" s="2010"/>
      <c r="M11" s="2010"/>
    </row>
    <row r="12" spans="1:14" ht="26.25" x14ac:dyDescent="0.25">
      <c r="A12" s="726" t="s">
        <v>729</v>
      </c>
      <c r="B12" s="726" t="s">
        <v>135</v>
      </c>
      <c r="C12" s="726" t="s">
        <v>730</v>
      </c>
      <c r="D12" s="726" t="s">
        <v>731</v>
      </c>
      <c r="E12" s="726" t="s">
        <v>732</v>
      </c>
      <c r="F12" s="726" t="s">
        <v>733</v>
      </c>
      <c r="G12" s="726" t="s">
        <v>734</v>
      </c>
      <c r="H12" s="726" t="s">
        <v>735</v>
      </c>
      <c r="I12" s="726" t="s">
        <v>141</v>
      </c>
      <c r="J12" s="727" t="s">
        <v>736</v>
      </c>
      <c r="K12" s="728" t="s">
        <v>737</v>
      </c>
      <c r="L12" s="728" t="s">
        <v>738</v>
      </c>
      <c r="M12" s="729" t="s">
        <v>736</v>
      </c>
    </row>
    <row r="13" spans="1:14" x14ac:dyDescent="0.25">
      <c r="A13" s="730"/>
      <c r="B13" s="726" t="s">
        <v>739</v>
      </c>
      <c r="C13" s="726"/>
      <c r="D13" s="726"/>
      <c r="E13" s="726"/>
      <c r="F13" s="726"/>
      <c r="G13" s="726"/>
      <c r="H13" s="726"/>
      <c r="I13" s="726"/>
      <c r="J13" s="91"/>
      <c r="K13" s="91"/>
      <c r="L13" s="91"/>
      <c r="M13" s="91"/>
    </row>
    <row r="14" spans="1:14" x14ac:dyDescent="0.25">
      <c r="A14" s="726">
        <v>1</v>
      </c>
      <c r="B14" s="726">
        <v>2</v>
      </c>
      <c r="C14" s="726">
        <v>3</v>
      </c>
      <c r="D14" s="726">
        <v>4</v>
      </c>
      <c r="E14" s="726">
        <v>5</v>
      </c>
      <c r="F14" s="726">
        <v>6</v>
      </c>
      <c r="G14" s="726">
        <v>7</v>
      </c>
      <c r="H14" s="726">
        <v>8</v>
      </c>
      <c r="I14" s="726">
        <v>9</v>
      </c>
      <c r="J14" s="731">
        <v>10</v>
      </c>
      <c r="K14" s="91"/>
      <c r="L14" s="91"/>
      <c r="M14" s="731"/>
    </row>
    <row r="15" spans="1:14" x14ac:dyDescent="0.25">
      <c r="A15" s="91">
        <v>1</v>
      </c>
      <c r="B15" s="730">
        <v>80</v>
      </c>
      <c r="C15" s="91">
        <v>19.8</v>
      </c>
      <c r="D15" s="91">
        <f>C15*0.6</f>
        <v>11.88</v>
      </c>
      <c r="E15" s="256">
        <v>3.7</v>
      </c>
      <c r="F15" s="256">
        <f>E15*2</f>
        <v>7.4</v>
      </c>
      <c r="G15" s="91">
        <f>D15+F15</f>
        <v>19.28</v>
      </c>
      <c r="H15" s="256">
        <f>+F2</f>
        <v>73.7</v>
      </c>
      <c r="I15" s="208">
        <f>G15*H15</f>
        <v>1420.9360000000001</v>
      </c>
      <c r="J15" s="732">
        <f t="shared" ref="J15:J26" si="0">ROUND(3.43*(($D$6-$D$4)/(1000*100))*G15+0.67*(($D$7-$D$5)/(1000*100))*G15,2)+I15</f>
        <v>1420.9360000000001</v>
      </c>
      <c r="K15" s="256">
        <f t="shared" ref="K15:K26" si="1">D15+E15</f>
        <v>15.580000000000002</v>
      </c>
      <c r="L15" s="730">
        <f t="shared" ref="L15:L26" si="2">ROUND(H15*K15,2)</f>
        <v>1148.25</v>
      </c>
      <c r="M15" s="732">
        <f t="shared" ref="M15:M26" si="3">ROUND(3.43*(($D$6-$D$4)/(1000*100))*K15+0.67*(($D$7-$D$5)/(1000*100))*K15,2)+L15</f>
        <v>1148.25</v>
      </c>
      <c r="N15" s="154"/>
    </row>
    <row r="16" spans="1:14" x14ac:dyDescent="0.25">
      <c r="A16" s="91">
        <v>2</v>
      </c>
      <c r="B16" s="261">
        <v>100</v>
      </c>
      <c r="C16" s="91">
        <v>25.4</v>
      </c>
      <c r="D16" s="91">
        <f t="shared" ref="D16:D26" si="4">C16*0.6</f>
        <v>15.239999999999998</v>
      </c>
      <c r="E16" s="256">
        <v>4.2</v>
      </c>
      <c r="F16" s="256">
        <f t="shared" ref="F16:F26" si="5">E16*2</f>
        <v>8.4</v>
      </c>
      <c r="G16" s="91">
        <f t="shared" ref="G16:G26" si="6">D16+F16</f>
        <v>23.64</v>
      </c>
      <c r="H16" s="256">
        <f>$H$15</f>
        <v>73.7</v>
      </c>
      <c r="I16" s="289">
        <f t="shared" ref="I16:I26" si="7">G16*H16</f>
        <v>1742.268</v>
      </c>
      <c r="J16" s="732">
        <f t="shared" si="0"/>
        <v>1742.268</v>
      </c>
      <c r="K16" s="256">
        <f t="shared" si="1"/>
        <v>19.439999999999998</v>
      </c>
      <c r="L16" s="730">
        <f t="shared" si="2"/>
        <v>1432.73</v>
      </c>
      <c r="M16" s="732">
        <f t="shared" si="3"/>
        <v>1432.73</v>
      </c>
    </row>
    <row r="17" spans="1:14" x14ac:dyDescent="0.25">
      <c r="A17" s="91">
        <v>3</v>
      </c>
      <c r="B17" s="730">
        <v>125</v>
      </c>
      <c r="C17" s="91">
        <v>33.1</v>
      </c>
      <c r="D17" s="91">
        <f t="shared" si="4"/>
        <v>19.86</v>
      </c>
      <c r="E17" s="256">
        <v>5.3</v>
      </c>
      <c r="F17" s="256">
        <f t="shared" si="5"/>
        <v>10.6</v>
      </c>
      <c r="G17" s="91">
        <f t="shared" si="6"/>
        <v>30.46</v>
      </c>
      <c r="H17" s="256">
        <f t="shared" ref="H17:H26" si="8">$H$15</f>
        <v>73.7</v>
      </c>
      <c r="I17" s="208">
        <f t="shared" si="7"/>
        <v>2244.902</v>
      </c>
      <c r="J17" s="732">
        <f t="shared" si="0"/>
        <v>2244.902</v>
      </c>
      <c r="K17" s="256">
        <f t="shared" si="1"/>
        <v>25.16</v>
      </c>
      <c r="L17" s="730">
        <f t="shared" si="2"/>
        <v>1854.29</v>
      </c>
      <c r="M17" s="732">
        <f t="shared" si="3"/>
        <v>1854.29</v>
      </c>
    </row>
    <row r="18" spans="1:14" x14ac:dyDescent="0.25">
      <c r="A18" s="91">
        <v>4</v>
      </c>
      <c r="B18" s="261">
        <v>150</v>
      </c>
      <c r="C18" s="91">
        <v>41.6</v>
      </c>
      <c r="D18" s="91">
        <f t="shared" si="4"/>
        <v>24.96</v>
      </c>
      <c r="E18" s="256">
        <v>6.7</v>
      </c>
      <c r="F18" s="256">
        <f t="shared" si="5"/>
        <v>13.4</v>
      </c>
      <c r="G18" s="91">
        <f t="shared" si="6"/>
        <v>38.36</v>
      </c>
      <c r="H18" s="256">
        <f t="shared" si="8"/>
        <v>73.7</v>
      </c>
      <c r="I18" s="289">
        <f t="shared" si="7"/>
        <v>2827.1320000000001</v>
      </c>
      <c r="J18" s="732">
        <f t="shared" si="0"/>
        <v>2827.1320000000001</v>
      </c>
      <c r="K18" s="256">
        <f t="shared" si="1"/>
        <v>31.66</v>
      </c>
      <c r="L18" s="730">
        <f t="shared" si="2"/>
        <v>2333.34</v>
      </c>
      <c r="M18" s="732">
        <f t="shared" si="3"/>
        <v>2333.34</v>
      </c>
    </row>
    <row r="19" spans="1:14" x14ac:dyDescent="0.25">
      <c r="A19" s="91">
        <v>5</v>
      </c>
      <c r="B19" s="730">
        <v>200</v>
      </c>
      <c r="C19" s="91">
        <v>60.1</v>
      </c>
      <c r="D19" s="91">
        <f t="shared" si="4"/>
        <v>36.06</v>
      </c>
      <c r="E19" s="256">
        <v>9.3000000000000007</v>
      </c>
      <c r="F19" s="256">
        <f t="shared" si="5"/>
        <v>18.600000000000001</v>
      </c>
      <c r="G19" s="91">
        <f t="shared" si="6"/>
        <v>54.660000000000004</v>
      </c>
      <c r="H19" s="256">
        <f t="shared" si="8"/>
        <v>73.7</v>
      </c>
      <c r="I19" s="208">
        <f t="shared" si="7"/>
        <v>4028.4420000000005</v>
      </c>
      <c r="J19" s="732">
        <f t="shared" si="0"/>
        <v>4028.4420000000005</v>
      </c>
      <c r="K19" s="256">
        <f t="shared" si="1"/>
        <v>45.36</v>
      </c>
      <c r="L19" s="730">
        <f t="shared" si="2"/>
        <v>3343.03</v>
      </c>
      <c r="M19" s="732">
        <f t="shared" si="3"/>
        <v>3343.03</v>
      </c>
    </row>
    <row r="20" spans="1:14" x14ac:dyDescent="0.25">
      <c r="A20" s="91">
        <v>6</v>
      </c>
      <c r="B20" s="261">
        <v>250</v>
      </c>
      <c r="C20" s="91">
        <v>81.8</v>
      </c>
      <c r="D20" s="91">
        <f t="shared" si="4"/>
        <v>49.08</v>
      </c>
      <c r="E20" s="256">
        <v>12</v>
      </c>
      <c r="F20" s="256">
        <f t="shared" si="5"/>
        <v>24</v>
      </c>
      <c r="G20" s="91">
        <f t="shared" si="6"/>
        <v>73.08</v>
      </c>
      <c r="H20" s="256">
        <f t="shared" si="8"/>
        <v>73.7</v>
      </c>
      <c r="I20" s="289">
        <f t="shared" si="7"/>
        <v>5385.9960000000001</v>
      </c>
      <c r="J20" s="732">
        <f t="shared" si="0"/>
        <v>5385.9960000000001</v>
      </c>
      <c r="K20" s="256">
        <f t="shared" si="1"/>
        <v>61.08</v>
      </c>
      <c r="L20" s="730">
        <f t="shared" si="2"/>
        <v>4501.6000000000004</v>
      </c>
      <c r="M20" s="732">
        <f t="shared" si="3"/>
        <v>4501.6000000000004</v>
      </c>
    </row>
    <row r="21" spans="1:14" x14ac:dyDescent="0.25">
      <c r="A21" s="91">
        <v>7</v>
      </c>
      <c r="B21" s="730">
        <v>300</v>
      </c>
      <c r="C21" s="91">
        <v>106.1</v>
      </c>
      <c r="D21" s="91">
        <f t="shared" si="4"/>
        <v>63.66</v>
      </c>
      <c r="E21" s="256">
        <v>14.8</v>
      </c>
      <c r="F21" s="256">
        <f t="shared" si="5"/>
        <v>29.6</v>
      </c>
      <c r="G21" s="91">
        <f t="shared" si="6"/>
        <v>93.259999999999991</v>
      </c>
      <c r="H21" s="256">
        <f t="shared" si="8"/>
        <v>73.7</v>
      </c>
      <c r="I21" s="208">
        <f t="shared" si="7"/>
        <v>6873.2619999999997</v>
      </c>
      <c r="J21" s="732">
        <f t="shared" si="0"/>
        <v>6873.2619999999997</v>
      </c>
      <c r="K21" s="256">
        <f t="shared" si="1"/>
        <v>78.459999999999994</v>
      </c>
      <c r="L21" s="730">
        <f t="shared" si="2"/>
        <v>5782.5</v>
      </c>
      <c r="M21" s="732">
        <f t="shared" si="3"/>
        <v>5782.5</v>
      </c>
    </row>
    <row r="22" spans="1:14" x14ac:dyDescent="0.25">
      <c r="A22" s="91">
        <v>8</v>
      </c>
      <c r="B22" s="261">
        <v>350</v>
      </c>
      <c r="C22" s="91">
        <v>133.5</v>
      </c>
      <c r="D22" s="91">
        <f t="shared" si="4"/>
        <v>80.099999999999994</v>
      </c>
      <c r="E22" s="256">
        <v>19</v>
      </c>
      <c r="F22" s="256">
        <f t="shared" si="5"/>
        <v>38</v>
      </c>
      <c r="G22" s="91">
        <f t="shared" si="6"/>
        <v>118.1</v>
      </c>
      <c r="H22" s="256">
        <f t="shared" si="8"/>
        <v>73.7</v>
      </c>
      <c r="I22" s="289">
        <f t="shared" si="7"/>
        <v>8703.9699999999993</v>
      </c>
      <c r="J22" s="732">
        <f t="shared" si="0"/>
        <v>8703.9699999999993</v>
      </c>
      <c r="K22" s="256">
        <f t="shared" si="1"/>
        <v>99.1</v>
      </c>
      <c r="L22" s="730">
        <f t="shared" si="2"/>
        <v>7303.67</v>
      </c>
      <c r="M22" s="732">
        <f t="shared" si="3"/>
        <v>7303.67</v>
      </c>
    </row>
    <row r="23" spans="1:14" x14ac:dyDescent="0.25">
      <c r="A23" s="91">
        <v>9</v>
      </c>
      <c r="B23" s="730">
        <v>400</v>
      </c>
      <c r="C23" s="91">
        <v>162.6</v>
      </c>
      <c r="D23" s="91">
        <f t="shared" si="4"/>
        <v>97.559999999999988</v>
      </c>
      <c r="E23" s="256">
        <v>23.4</v>
      </c>
      <c r="F23" s="256">
        <f t="shared" si="5"/>
        <v>46.8</v>
      </c>
      <c r="G23" s="91">
        <f t="shared" si="6"/>
        <v>144.35999999999999</v>
      </c>
      <c r="H23" s="256">
        <f t="shared" si="8"/>
        <v>73.7</v>
      </c>
      <c r="I23" s="208">
        <f t="shared" si="7"/>
        <v>10639.331999999999</v>
      </c>
      <c r="J23" s="732">
        <f t="shared" si="0"/>
        <v>10639.331999999999</v>
      </c>
      <c r="K23" s="256">
        <f t="shared" si="1"/>
        <v>120.95999999999998</v>
      </c>
      <c r="L23" s="730">
        <f t="shared" si="2"/>
        <v>8914.75</v>
      </c>
      <c r="M23" s="732">
        <f t="shared" si="3"/>
        <v>8914.75</v>
      </c>
    </row>
    <row r="24" spans="1:14" x14ac:dyDescent="0.25">
      <c r="A24" s="91">
        <v>10</v>
      </c>
      <c r="B24" s="261">
        <v>450</v>
      </c>
      <c r="C24" s="91">
        <v>197</v>
      </c>
      <c r="D24" s="91">
        <f t="shared" si="4"/>
        <v>118.19999999999999</v>
      </c>
      <c r="E24" s="256">
        <v>26.5</v>
      </c>
      <c r="F24" s="256">
        <f t="shared" si="5"/>
        <v>53</v>
      </c>
      <c r="G24" s="91">
        <f t="shared" si="6"/>
        <v>171.2</v>
      </c>
      <c r="H24" s="256">
        <f t="shared" si="8"/>
        <v>73.7</v>
      </c>
      <c r="I24" s="289">
        <f t="shared" si="7"/>
        <v>12617.44</v>
      </c>
      <c r="J24" s="732">
        <f t="shared" si="0"/>
        <v>12617.44</v>
      </c>
      <c r="K24" s="256">
        <f t="shared" si="1"/>
        <v>144.69999999999999</v>
      </c>
      <c r="L24" s="730">
        <f t="shared" si="2"/>
        <v>10664.39</v>
      </c>
      <c r="M24" s="732">
        <f t="shared" si="3"/>
        <v>10664.39</v>
      </c>
      <c r="N24" s="154"/>
    </row>
    <row r="25" spans="1:14" x14ac:dyDescent="0.25">
      <c r="A25" s="91">
        <v>11</v>
      </c>
      <c r="B25" s="730">
        <v>500</v>
      </c>
      <c r="C25" s="91">
        <v>229.3</v>
      </c>
      <c r="D25" s="91">
        <f t="shared" si="4"/>
        <v>137.58000000000001</v>
      </c>
      <c r="E25" s="256">
        <v>32.1</v>
      </c>
      <c r="F25" s="256">
        <f t="shared" si="5"/>
        <v>64.2</v>
      </c>
      <c r="G25" s="91">
        <f t="shared" si="6"/>
        <v>201.78000000000003</v>
      </c>
      <c r="H25" s="256">
        <f t="shared" si="8"/>
        <v>73.7</v>
      </c>
      <c r="I25" s="208">
        <f t="shared" si="7"/>
        <v>14871.186000000003</v>
      </c>
      <c r="J25" s="732">
        <f t="shared" si="0"/>
        <v>14871.186000000003</v>
      </c>
      <c r="K25" s="256">
        <f t="shared" si="1"/>
        <v>169.68</v>
      </c>
      <c r="L25" s="730">
        <f t="shared" si="2"/>
        <v>12505.42</v>
      </c>
      <c r="M25" s="732">
        <f t="shared" si="3"/>
        <v>12505.42</v>
      </c>
      <c r="N25" s="154"/>
    </row>
    <row r="26" spans="1:14" x14ac:dyDescent="0.25">
      <c r="A26" s="91">
        <v>12</v>
      </c>
      <c r="B26" s="261">
        <v>600</v>
      </c>
      <c r="C26" s="91">
        <v>306.5</v>
      </c>
      <c r="D26" s="91">
        <f t="shared" si="4"/>
        <v>183.9</v>
      </c>
      <c r="E26" s="256">
        <v>44</v>
      </c>
      <c r="F26" s="256">
        <f t="shared" si="5"/>
        <v>88</v>
      </c>
      <c r="G26" s="91">
        <f t="shared" si="6"/>
        <v>271.89999999999998</v>
      </c>
      <c r="H26" s="256">
        <f t="shared" si="8"/>
        <v>73.7</v>
      </c>
      <c r="I26" s="261">
        <f t="shared" si="7"/>
        <v>20039.03</v>
      </c>
      <c r="J26" s="732">
        <f t="shared" si="0"/>
        <v>20039.03</v>
      </c>
      <c r="K26" s="256">
        <f t="shared" si="1"/>
        <v>227.9</v>
      </c>
      <c r="L26" s="730">
        <f t="shared" si="2"/>
        <v>16796.23</v>
      </c>
      <c r="M26" s="732">
        <f t="shared" si="3"/>
        <v>16796.23</v>
      </c>
    </row>
    <row r="29" spans="1:14" x14ac:dyDescent="0.25">
      <c r="A29" s="2009" t="s">
        <v>740</v>
      </c>
      <c r="B29" s="2009"/>
      <c r="C29" s="2009"/>
      <c r="D29" s="2009"/>
      <c r="E29" s="2009"/>
      <c r="F29" s="2009"/>
      <c r="G29" s="2009"/>
      <c r="H29" s="2009"/>
      <c r="I29" s="2009"/>
      <c r="K29" s="2010" t="s">
        <v>728</v>
      </c>
      <c r="L29" s="2010"/>
      <c r="M29" s="2010"/>
    </row>
    <row r="30" spans="1:14" ht="26.25" x14ac:dyDescent="0.25">
      <c r="A30" s="726" t="s">
        <v>729</v>
      </c>
      <c r="B30" s="726" t="s">
        <v>135</v>
      </c>
      <c r="C30" s="726" t="s">
        <v>730</v>
      </c>
      <c r="D30" s="726" t="s">
        <v>741</v>
      </c>
      <c r="E30" s="726" t="s">
        <v>732</v>
      </c>
      <c r="F30" s="726" t="s">
        <v>733</v>
      </c>
      <c r="G30" s="726" t="s">
        <v>734</v>
      </c>
      <c r="H30" s="726" t="s">
        <v>735</v>
      </c>
      <c r="I30" s="726" t="s">
        <v>141</v>
      </c>
      <c r="J30" s="727" t="s">
        <v>736</v>
      </c>
      <c r="K30" s="728" t="s">
        <v>737</v>
      </c>
      <c r="L30" s="728" t="s">
        <v>738</v>
      </c>
      <c r="M30" s="729" t="s">
        <v>736</v>
      </c>
    </row>
    <row r="31" spans="1:14" x14ac:dyDescent="0.25">
      <c r="A31" s="730"/>
      <c r="B31" s="726" t="s">
        <v>739</v>
      </c>
      <c r="C31" s="726"/>
      <c r="D31" s="726"/>
      <c r="E31" s="726"/>
      <c r="F31" s="726"/>
      <c r="G31" s="726"/>
      <c r="H31" s="726"/>
      <c r="I31" s="726"/>
      <c r="J31" s="91"/>
      <c r="K31" s="91"/>
      <c r="L31" s="91"/>
      <c r="M31" s="91"/>
    </row>
    <row r="32" spans="1:14" x14ac:dyDescent="0.25">
      <c r="A32" s="726">
        <v>1</v>
      </c>
      <c r="B32" s="726">
        <v>2</v>
      </c>
      <c r="C32" s="726">
        <v>3</v>
      </c>
      <c r="D32" s="726">
        <v>4</v>
      </c>
      <c r="E32" s="726">
        <v>5</v>
      </c>
      <c r="F32" s="726">
        <v>6</v>
      </c>
      <c r="G32" s="726">
        <v>7</v>
      </c>
      <c r="H32" s="726">
        <v>8</v>
      </c>
      <c r="I32" s="726">
        <v>9</v>
      </c>
      <c r="J32" s="731">
        <v>10</v>
      </c>
      <c r="K32" s="91"/>
      <c r="L32" s="91"/>
      <c r="M32" s="731"/>
    </row>
    <row r="33" spans="1:13" x14ac:dyDescent="0.25">
      <c r="A33" s="91">
        <v>1</v>
      </c>
      <c r="B33" s="730">
        <v>80</v>
      </c>
      <c r="C33" s="91">
        <v>19.8</v>
      </c>
      <c r="D33" s="91">
        <f>C33*0.9</f>
        <v>17.82</v>
      </c>
      <c r="E33" s="256">
        <v>3.7</v>
      </c>
      <c r="F33" s="256">
        <f>E33*2</f>
        <v>7.4</v>
      </c>
      <c r="G33" s="91">
        <f>D33+F33</f>
        <v>25.22</v>
      </c>
      <c r="H33" s="256">
        <f t="shared" ref="H33:H44" si="9">$H$15</f>
        <v>73.7</v>
      </c>
      <c r="I33" s="208">
        <f>G33*H33</f>
        <v>1858.7139999999999</v>
      </c>
      <c r="J33" s="732">
        <f t="shared" ref="J33:J44" si="10">ROUND(3.43*(($D$6-$D$4)/(1000*100))*G33+0.67*(($D$7-$D$5)/(1000*100))*G33,2)+I33</f>
        <v>1858.7139999999999</v>
      </c>
      <c r="K33" s="256">
        <f t="shared" ref="K33:K44" si="11">D33+E33</f>
        <v>21.52</v>
      </c>
      <c r="L33" s="730">
        <f t="shared" ref="L33:L44" si="12">ROUND(H33*K33,2)</f>
        <v>1586.02</v>
      </c>
      <c r="M33" s="732">
        <f t="shared" ref="M33:M44" si="13">ROUND(3.43*(($D$6-$D$4)/(1000*100))*K33+0.67*(($D$7-$D$5)/(1000*100))*K33,2)+L33</f>
        <v>1586.02</v>
      </c>
    </row>
    <row r="34" spans="1:13" x14ac:dyDescent="0.25">
      <c r="A34" s="91">
        <v>2</v>
      </c>
      <c r="B34" s="261">
        <v>100</v>
      </c>
      <c r="C34" s="91">
        <v>25.4</v>
      </c>
      <c r="D34" s="91">
        <f t="shared" ref="D34:D44" si="14">C34*0.9</f>
        <v>22.86</v>
      </c>
      <c r="E34" s="256">
        <v>4.2</v>
      </c>
      <c r="F34" s="256">
        <f t="shared" ref="F34:F44" si="15">E34*2</f>
        <v>8.4</v>
      </c>
      <c r="G34" s="91">
        <f t="shared" ref="G34:G44" si="16">D34+F34</f>
        <v>31.259999999999998</v>
      </c>
      <c r="H34" s="256">
        <f t="shared" si="9"/>
        <v>73.7</v>
      </c>
      <c r="I34" s="289">
        <f t="shared" ref="I34:I44" si="17">G34*H34</f>
        <v>2303.8620000000001</v>
      </c>
      <c r="J34" s="732">
        <f t="shared" si="10"/>
        <v>2303.8620000000001</v>
      </c>
      <c r="K34" s="256">
        <f t="shared" si="11"/>
        <v>27.06</v>
      </c>
      <c r="L34" s="730">
        <f t="shared" si="12"/>
        <v>1994.32</v>
      </c>
      <c r="M34" s="732">
        <f t="shared" si="13"/>
        <v>1994.32</v>
      </c>
    </row>
    <row r="35" spans="1:13" x14ac:dyDescent="0.25">
      <c r="A35" s="91">
        <v>3</v>
      </c>
      <c r="B35" s="730">
        <v>125</v>
      </c>
      <c r="C35" s="91">
        <v>33.1</v>
      </c>
      <c r="D35" s="91">
        <f t="shared" si="14"/>
        <v>29.790000000000003</v>
      </c>
      <c r="E35" s="256">
        <v>5.3</v>
      </c>
      <c r="F35" s="256">
        <f t="shared" si="15"/>
        <v>10.6</v>
      </c>
      <c r="G35" s="91">
        <f t="shared" si="16"/>
        <v>40.39</v>
      </c>
      <c r="H35" s="256">
        <f t="shared" si="9"/>
        <v>73.7</v>
      </c>
      <c r="I35" s="208">
        <f t="shared" si="17"/>
        <v>2976.7429999999999</v>
      </c>
      <c r="J35" s="732">
        <f t="shared" si="10"/>
        <v>2976.7429999999999</v>
      </c>
      <c r="K35" s="256">
        <f t="shared" si="11"/>
        <v>35.090000000000003</v>
      </c>
      <c r="L35" s="730">
        <f t="shared" si="12"/>
        <v>2586.13</v>
      </c>
      <c r="M35" s="732">
        <f t="shared" si="13"/>
        <v>2586.13</v>
      </c>
    </row>
    <row r="36" spans="1:13" x14ac:dyDescent="0.25">
      <c r="A36" s="91">
        <v>4</v>
      </c>
      <c r="B36" s="261">
        <v>150</v>
      </c>
      <c r="C36" s="91">
        <v>41.6</v>
      </c>
      <c r="D36" s="91">
        <f t="shared" si="14"/>
        <v>37.440000000000005</v>
      </c>
      <c r="E36" s="256">
        <v>6.7</v>
      </c>
      <c r="F36" s="256">
        <f t="shared" si="15"/>
        <v>13.4</v>
      </c>
      <c r="G36" s="91">
        <f t="shared" si="16"/>
        <v>50.84</v>
      </c>
      <c r="H36" s="256">
        <f t="shared" si="9"/>
        <v>73.7</v>
      </c>
      <c r="I36" s="289">
        <f t="shared" si="17"/>
        <v>3746.9080000000004</v>
      </c>
      <c r="J36" s="732">
        <f t="shared" si="10"/>
        <v>3746.9080000000004</v>
      </c>
      <c r="K36" s="256">
        <f t="shared" si="11"/>
        <v>44.140000000000008</v>
      </c>
      <c r="L36" s="730">
        <f t="shared" si="12"/>
        <v>3253.12</v>
      </c>
      <c r="M36" s="732">
        <f t="shared" si="13"/>
        <v>3253.12</v>
      </c>
    </row>
    <row r="37" spans="1:13" x14ac:dyDescent="0.25">
      <c r="A37" s="91">
        <v>5</v>
      </c>
      <c r="B37" s="730">
        <v>200</v>
      </c>
      <c r="C37" s="91">
        <v>60.1</v>
      </c>
      <c r="D37" s="91">
        <f t="shared" si="14"/>
        <v>54.09</v>
      </c>
      <c r="E37" s="256">
        <v>9.3000000000000007</v>
      </c>
      <c r="F37" s="256">
        <f t="shared" si="15"/>
        <v>18.600000000000001</v>
      </c>
      <c r="G37" s="91">
        <f t="shared" si="16"/>
        <v>72.69</v>
      </c>
      <c r="H37" s="256">
        <f t="shared" si="9"/>
        <v>73.7</v>
      </c>
      <c r="I37" s="208">
        <f t="shared" si="17"/>
        <v>5357.2529999999997</v>
      </c>
      <c r="J37" s="732">
        <f t="shared" si="10"/>
        <v>5357.2529999999997</v>
      </c>
      <c r="K37" s="256">
        <f t="shared" si="11"/>
        <v>63.39</v>
      </c>
      <c r="L37" s="730">
        <f t="shared" si="12"/>
        <v>4671.84</v>
      </c>
      <c r="M37" s="732">
        <f t="shared" si="13"/>
        <v>4671.84</v>
      </c>
    </row>
    <row r="38" spans="1:13" x14ac:dyDescent="0.25">
      <c r="A38" s="91">
        <v>6</v>
      </c>
      <c r="B38" s="261">
        <v>250</v>
      </c>
      <c r="C38" s="91">
        <v>81.8</v>
      </c>
      <c r="D38" s="91">
        <f t="shared" si="14"/>
        <v>73.62</v>
      </c>
      <c r="E38" s="256">
        <v>12</v>
      </c>
      <c r="F38" s="256">
        <f t="shared" si="15"/>
        <v>24</v>
      </c>
      <c r="G38" s="91">
        <f t="shared" si="16"/>
        <v>97.62</v>
      </c>
      <c r="H38" s="256">
        <f t="shared" si="9"/>
        <v>73.7</v>
      </c>
      <c r="I38" s="289">
        <f t="shared" si="17"/>
        <v>7194.594000000001</v>
      </c>
      <c r="J38" s="732">
        <f t="shared" si="10"/>
        <v>7194.594000000001</v>
      </c>
      <c r="K38" s="256">
        <f t="shared" si="11"/>
        <v>85.62</v>
      </c>
      <c r="L38" s="730">
        <f t="shared" si="12"/>
        <v>6310.19</v>
      </c>
      <c r="M38" s="732">
        <f t="shared" si="13"/>
        <v>6310.19</v>
      </c>
    </row>
    <row r="39" spans="1:13" x14ac:dyDescent="0.25">
      <c r="A39" s="91">
        <v>7</v>
      </c>
      <c r="B39" s="730">
        <v>300</v>
      </c>
      <c r="C39" s="91">
        <v>106.1</v>
      </c>
      <c r="D39" s="91">
        <f t="shared" si="14"/>
        <v>95.49</v>
      </c>
      <c r="E39" s="256">
        <v>14.8</v>
      </c>
      <c r="F39" s="256">
        <f t="shared" si="15"/>
        <v>29.6</v>
      </c>
      <c r="G39" s="91">
        <f t="shared" si="16"/>
        <v>125.09</v>
      </c>
      <c r="H39" s="256">
        <f t="shared" si="9"/>
        <v>73.7</v>
      </c>
      <c r="I39" s="208">
        <f t="shared" si="17"/>
        <v>9219.1329999999998</v>
      </c>
      <c r="J39" s="732">
        <f t="shared" si="10"/>
        <v>9219.1329999999998</v>
      </c>
      <c r="K39" s="256">
        <f t="shared" si="11"/>
        <v>110.28999999999999</v>
      </c>
      <c r="L39" s="730">
        <f t="shared" si="12"/>
        <v>8128.37</v>
      </c>
      <c r="M39" s="732">
        <f t="shared" si="13"/>
        <v>8128.37</v>
      </c>
    </row>
    <row r="40" spans="1:13" x14ac:dyDescent="0.25">
      <c r="A40" s="91">
        <v>8</v>
      </c>
      <c r="B40" s="261">
        <v>350</v>
      </c>
      <c r="C40" s="91">
        <v>133.5</v>
      </c>
      <c r="D40" s="91">
        <f t="shared" si="14"/>
        <v>120.15</v>
      </c>
      <c r="E40" s="256">
        <v>19</v>
      </c>
      <c r="F40" s="256">
        <f t="shared" si="15"/>
        <v>38</v>
      </c>
      <c r="G40" s="91">
        <f t="shared" si="16"/>
        <v>158.15</v>
      </c>
      <c r="H40" s="256">
        <f t="shared" si="9"/>
        <v>73.7</v>
      </c>
      <c r="I40" s="289">
        <f t="shared" si="17"/>
        <v>11655.655000000001</v>
      </c>
      <c r="J40" s="732">
        <f t="shared" si="10"/>
        <v>11655.655000000001</v>
      </c>
      <c r="K40" s="256">
        <f t="shared" si="11"/>
        <v>139.15</v>
      </c>
      <c r="L40" s="730">
        <f t="shared" si="12"/>
        <v>10255.36</v>
      </c>
      <c r="M40" s="732">
        <f t="shared" si="13"/>
        <v>10255.36</v>
      </c>
    </row>
    <row r="41" spans="1:13" x14ac:dyDescent="0.25">
      <c r="A41" s="91">
        <v>9</v>
      </c>
      <c r="B41" s="730">
        <v>400</v>
      </c>
      <c r="C41" s="91">
        <v>162.6</v>
      </c>
      <c r="D41" s="91">
        <f t="shared" si="14"/>
        <v>146.34</v>
      </c>
      <c r="E41" s="256">
        <v>23.4</v>
      </c>
      <c r="F41" s="256">
        <f t="shared" si="15"/>
        <v>46.8</v>
      </c>
      <c r="G41" s="91">
        <f t="shared" si="16"/>
        <v>193.14</v>
      </c>
      <c r="H41" s="256">
        <f t="shared" si="9"/>
        <v>73.7</v>
      </c>
      <c r="I41" s="208">
        <f t="shared" si="17"/>
        <v>14234.418</v>
      </c>
      <c r="J41" s="732">
        <f t="shared" si="10"/>
        <v>14234.418</v>
      </c>
      <c r="K41" s="256">
        <f t="shared" si="11"/>
        <v>169.74</v>
      </c>
      <c r="L41" s="730">
        <f t="shared" si="12"/>
        <v>12509.84</v>
      </c>
      <c r="M41" s="732">
        <f t="shared" si="13"/>
        <v>12509.84</v>
      </c>
    </row>
    <row r="42" spans="1:13" x14ac:dyDescent="0.25">
      <c r="A42" s="91">
        <v>10</v>
      </c>
      <c r="B42" s="261">
        <v>450</v>
      </c>
      <c r="C42" s="91">
        <v>197</v>
      </c>
      <c r="D42" s="91">
        <f t="shared" si="14"/>
        <v>177.3</v>
      </c>
      <c r="E42" s="256">
        <v>26.5</v>
      </c>
      <c r="F42" s="256">
        <f t="shared" si="15"/>
        <v>53</v>
      </c>
      <c r="G42" s="91">
        <f t="shared" si="16"/>
        <v>230.3</v>
      </c>
      <c r="H42" s="256">
        <f t="shared" si="9"/>
        <v>73.7</v>
      </c>
      <c r="I42" s="289">
        <f t="shared" si="17"/>
        <v>16973.11</v>
      </c>
      <c r="J42" s="732">
        <f t="shared" si="10"/>
        <v>16973.11</v>
      </c>
      <c r="K42" s="256">
        <f t="shared" si="11"/>
        <v>203.8</v>
      </c>
      <c r="L42" s="730">
        <f t="shared" si="12"/>
        <v>15020.06</v>
      </c>
      <c r="M42" s="732">
        <f t="shared" si="13"/>
        <v>15020.06</v>
      </c>
    </row>
    <row r="43" spans="1:13" x14ac:dyDescent="0.25">
      <c r="A43" s="91">
        <v>11</v>
      </c>
      <c r="B43" s="730">
        <v>500</v>
      </c>
      <c r="C43" s="91">
        <v>229.3</v>
      </c>
      <c r="D43" s="91">
        <f t="shared" si="14"/>
        <v>206.37</v>
      </c>
      <c r="E43" s="256">
        <v>32.1</v>
      </c>
      <c r="F43" s="256">
        <f t="shared" si="15"/>
        <v>64.2</v>
      </c>
      <c r="G43" s="91">
        <f t="shared" si="16"/>
        <v>270.57</v>
      </c>
      <c r="H43" s="256">
        <f t="shared" si="9"/>
        <v>73.7</v>
      </c>
      <c r="I43" s="208">
        <f t="shared" si="17"/>
        <v>19941.009000000002</v>
      </c>
      <c r="J43" s="732">
        <f t="shared" si="10"/>
        <v>19941.009000000002</v>
      </c>
      <c r="K43" s="256">
        <f t="shared" si="11"/>
        <v>238.47</v>
      </c>
      <c r="L43" s="730">
        <f t="shared" si="12"/>
        <v>17575.240000000002</v>
      </c>
      <c r="M43" s="732">
        <f t="shared" si="13"/>
        <v>17575.240000000002</v>
      </c>
    </row>
    <row r="44" spans="1:13" x14ac:dyDescent="0.25">
      <c r="A44" s="91">
        <v>12</v>
      </c>
      <c r="B44" s="261">
        <v>600</v>
      </c>
      <c r="C44" s="91">
        <v>306.5</v>
      </c>
      <c r="D44" s="91">
        <f t="shared" si="14"/>
        <v>275.85000000000002</v>
      </c>
      <c r="E44" s="256">
        <v>44</v>
      </c>
      <c r="F44" s="256">
        <f t="shared" si="15"/>
        <v>88</v>
      </c>
      <c r="G44" s="91">
        <f t="shared" si="16"/>
        <v>363.85</v>
      </c>
      <c r="H44" s="256">
        <f t="shared" si="9"/>
        <v>73.7</v>
      </c>
      <c r="I44" s="289">
        <f t="shared" si="17"/>
        <v>26815.745000000003</v>
      </c>
      <c r="J44" s="732">
        <f t="shared" si="10"/>
        <v>26815.745000000003</v>
      </c>
      <c r="K44" s="256">
        <f t="shared" si="11"/>
        <v>319.85000000000002</v>
      </c>
      <c r="L44" s="730">
        <f t="shared" si="12"/>
        <v>23572.95</v>
      </c>
      <c r="M44" s="732">
        <f t="shared" si="13"/>
        <v>23572.95</v>
      </c>
    </row>
    <row r="47" spans="1:13" x14ac:dyDescent="0.25">
      <c r="A47" s="2009" t="s">
        <v>742</v>
      </c>
      <c r="B47" s="2009"/>
      <c r="C47" s="2009"/>
      <c r="D47" s="2009"/>
      <c r="E47" s="2009"/>
      <c r="F47" s="2009"/>
      <c r="G47" s="2009"/>
      <c r="H47" s="2009"/>
      <c r="I47" s="2009"/>
      <c r="K47" s="2010" t="s">
        <v>728</v>
      </c>
      <c r="L47" s="2010"/>
      <c r="M47" s="2010"/>
    </row>
    <row r="48" spans="1:13" ht="26.25" x14ac:dyDescent="0.25">
      <c r="A48" s="726" t="s">
        <v>729</v>
      </c>
      <c r="B48" s="726" t="s">
        <v>135</v>
      </c>
      <c r="C48" s="726" t="s">
        <v>730</v>
      </c>
      <c r="D48" s="726" t="s">
        <v>743</v>
      </c>
      <c r="E48" s="726" t="s">
        <v>732</v>
      </c>
      <c r="F48" s="726" t="s">
        <v>733</v>
      </c>
      <c r="G48" s="726" t="s">
        <v>734</v>
      </c>
      <c r="H48" s="726" t="s">
        <v>735</v>
      </c>
      <c r="I48" s="726" t="s">
        <v>141</v>
      </c>
      <c r="J48" s="727" t="s">
        <v>736</v>
      </c>
      <c r="K48" s="728" t="s">
        <v>737</v>
      </c>
      <c r="L48" s="728" t="s">
        <v>738</v>
      </c>
      <c r="M48" s="729" t="s">
        <v>736</v>
      </c>
    </row>
    <row r="49" spans="1:13" x14ac:dyDescent="0.25">
      <c r="A49" s="730"/>
      <c r="B49" s="726" t="s">
        <v>739</v>
      </c>
      <c r="C49" s="726"/>
      <c r="D49" s="726"/>
      <c r="E49" s="726"/>
      <c r="F49" s="726"/>
      <c r="G49" s="726"/>
      <c r="H49" s="726"/>
      <c r="I49" s="726"/>
      <c r="J49" s="91"/>
      <c r="K49" s="91"/>
      <c r="L49" s="91"/>
      <c r="M49" s="91"/>
    </row>
    <row r="50" spans="1:13" x14ac:dyDescent="0.25">
      <c r="A50" s="726">
        <v>1</v>
      </c>
      <c r="B50" s="726">
        <v>2</v>
      </c>
      <c r="C50" s="726">
        <v>3</v>
      </c>
      <c r="D50" s="726">
        <v>4</v>
      </c>
      <c r="E50" s="726">
        <v>5</v>
      </c>
      <c r="F50" s="726">
        <v>6</v>
      </c>
      <c r="G50" s="726">
        <v>7</v>
      </c>
      <c r="H50" s="726">
        <v>8</v>
      </c>
      <c r="I50" s="726">
        <v>9</v>
      </c>
      <c r="J50" s="731"/>
      <c r="K50" s="91"/>
      <c r="L50" s="91"/>
      <c r="M50" s="731"/>
    </row>
    <row r="51" spans="1:13" x14ac:dyDescent="0.25">
      <c r="A51" s="91">
        <v>1</v>
      </c>
      <c r="B51" s="730">
        <v>80</v>
      </c>
      <c r="C51" s="91">
        <v>19.8</v>
      </c>
      <c r="D51" s="91">
        <f>C51*1</f>
        <v>19.8</v>
      </c>
      <c r="E51" s="256">
        <v>3.7</v>
      </c>
      <c r="F51" s="256">
        <f>E51*2</f>
        <v>7.4</v>
      </c>
      <c r="G51" s="91">
        <f>D51+F51</f>
        <v>27.200000000000003</v>
      </c>
      <c r="H51" s="256">
        <f t="shared" ref="H51:H62" si="18">$H$15</f>
        <v>73.7</v>
      </c>
      <c r="I51" s="208">
        <f>G51*H51</f>
        <v>2004.6400000000003</v>
      </c>
      <c r="J51" s="732">
        <f t="shared" ref="J51:J62" si="19">ROUND(3.43*(($D$6-$D$4)/(1000*100))*G51+0.67*(($D$7-$D$5)/(1000*100))*G51,2)+I51</f>
        <v>2004.6400000000003</v>
      </c>
      <c r="K51" s="256">
        <f t="shared" ref="K51:K62" si="20">D51+E51</f>
        <v>23.5</v>
      </c>
      <c r="L51" s="730">
        <f t="shared" ref="L51:L62" si="21">ROUND(H51*K51,2)</f>
        <v>1731.95</v>
      </c>
      <c r="M51" s="732">
        <f t="shared" ref="M51:M62" si="22">ROUND(3.43*(($D$6-$D$4)/(1000*100))*K51+0.67*(($D$7-$D$5)/(1000*100))*K51,2)+L51</f>
        <v>1731.95</v>
      </c>
    </row>
    <row r="52" spans="1:13" x14ac:dyDescent="0.25">
      <c r="A52" s="91">
        <v>2</v>
      </c>
      <c r="B52" s="261">
        <v>100</v>
      </c>
      <c r="C52" s="91">
        <v>25.4</v>
      </c>
      <c r="D52" s="91">
        <f t="shared" ref="D52:D62" si="23">C52*1</f>
        <v>25.4</v>
      </c>
      <c r="E52" s="256">
        <v>4.2</v>
      </c>
      <c r="F52" s="256">
        <f t="shared" ref="F52:F62" si="24">E52*2</f>
        <v>8.4</v>
      </c>
      <c r="G52" s="91">
        <f t="shared" ref="G52:G62" si="25">D52+F52</f>
        <v>33.799999999999997</v>
      </c>
      <c r="H52" s="256">
        <f t="shared" si="18"/>
        <v>73.7</v>
      </c>
      <c r="I52" s="289">
        <f t="shared" ref="I52:I62" si="26">G52*H52</f>
        <v>2491.06</v>
      </c>
      <c r="J52" s="732">
        <f t="shared" si="19"/>
        <v>2491.06</v>
      </c>
      <c r="K52" s="256">
        <f t="shared" si="20"/>
        <v>29.599999999999998</v>
      </c>
      <c r="L52" s="730">
        <f t="shared" si="21"/>
        <v>2181.52</v>
      </c>
      <c r="M52" s="732">
        <f t="shared" si="22"/>
        <v>2181.52</v>
      </c>
    </row>
    <row r="53" spans="1:13" x14ac:dyDescent="0.25">
      <c r="A53" s="91">
        <v>3</v>
      </c>
      <c r="B53" s="730">
        <v>125</v>
      </c>
      <c r="C53" s="91">
        <v>33.1</v>
      </c>
      <c r="D53" s="91">
        <f t="shared" si="23"/>
        <v>33.1</v>
      </c>
      <c r="E53" s="256">
        <v>5.3</v>
      </c>
      <c r="F53" s="256">
        <f t="shared" si="24"/>
        <v>10.6</v>
      </c>
      <c r="G53" s="91">
        <f t="shared" si="25"/>
        <v>43.7</v>
      </c>
      <c r="H53" s="256">
        <f t="shared" si="18"/>
        <v>73.7</v>
      </c>
      <c r="I53" s="208">
        <f t="shared" si="26"/>
        <v>3220.6900000000005</v>
      </c>
      <c r="J53" s="732">
        <f t="shared" si="19"/>
        <v>3220.6900000000005</v>
      </c>
      <c r="K53" s="256">
        <f t="shared" si="20"/>
        <v>38.4</v>
      </c>
      <c r="L53" s="730">
        <f t="shared" si="21"/>
        <v>2830.08</v>
      </c>
      <c r="M53" s="732">
        <f t="shared" si="22"/>
        <v>2830.08</v>
      </c>
    </row>
    <row r="54" spans="1:13" x14ac:dyDescent="0.25">
      <c r="A54" s="91">
        <v>4</v>
      </c>
      <c r="B54" s="261">
        <v>150</v>
      </c>
      <c r="C54" s="91">
        <v>41.6</v>
      </c>
      <c r="D54" s="91">
        <f t="shared" si="23"/>
        <v>41.6</v>
      </c>
      <c r="E54" s="256">
        <v>6.7</v>
      </c>
      <c r="F54" s="256">
        <f t="shared" si="24"/>
        <v>13.4</v>
      </c>
      <c r="G54" s="91">
        <f t="shared" si="25"/>
        <v>55</v>
      </c>
      <c r="H54" s="256">
        <f t="shared" si="18"/>
        <v>73.7</v>
      </c>
      <c r="I54" s="289">
        <f t="shared" si="26"/>
        <v>4053.5</v>
      </c>
      <c r="J54" s="732">
        <f t="shared" si="19"/>
        <v>4053.5</v>
      </c>
      <c r="K54" s="256">
        <f t="shared" si="20"/>
        <v>48.300000000000004</v>
      </c>
      <c r="L54" s="730">
        <f t="shared" si="21"/>
        <v>3559.71</v>
      </c>
      <c r="M54" s="732">
        <f t="shared" si="22"/>
        <v>3559.71</v>
      </c>
    </row>
    <row r="55" spans="1:13" x14ac:dyDescent="0.25">
      <c r="A55" s="91">
        <v>5</v>
      </c>
      <c r="B55" s="730">
        <v>200</v>
      </c>
      <c r="C55" s="91">
        <v>60.1</v>
      </c>
      <c r="D55" s="91">
        <f t="shared" si="23"/>
        <v>60.1</v>
      </c>
      <c r="E55" s="256">
        <v>9.3000000000000007</v>
      </c>
      <c r="F55" s="256">
        <f t="shared" si="24"/>
        <v>18.600000000000001</v>
      </c>
      <c r="G55" s="91">
        <f t="shared" si="25"/>
        <v>78.7</v>
      </c>
      <c r="H55" s="256">
        <f t="shared" si="18"/>
        <v>73.7</v>
      </c>
      <c r="I55" s="208">
        <f t="shared" si="26"/>
        <v>5800.1900000000005</v>
      </c>
      <c r="J55" s="732">
        <f t="shared" si="19"/>
        <v>5800.1900000000005</v>
      </c>
      <c r="K55" s="256">
        <f t="shared" si="20"/>
        <v>69.400000000000006</v>
      </c>
      <c r="L55" s="730">
        <f t="shared" si="21"/>
        <v>5114.78</v>
      </c>
      <c r="M55" s="732">
        <f t="shared" si="22"/>
        <v>5114.78</v>
      </c>
    </row>
    <row r="56" spans="1:13" x14ac:dyDescent="0.25">
      <c r="A56" s="91">
        <v>6</v>
      </c>
      <c r="B56" s="261">
        <v>250</v>
      </c>
      <c r="C56" s="91">
        <v>81.8</v>
      </c>
      <c r="D56" s="91">
        <f t="shared" si="23"/>
        <v>81.8</v>
      </c>
      <c r="E56" s="256">
        <v>12</v>
      </c>
      <c r="F56" s="256">
        <f t="shared" si="24"/>
        <v>24</v>
      </c>
      <c r="G56" s="91">
        <f t="shared" si="25"/>
        <v>105.8</v>
      </c>
      <c r="H56" s="256">
        <f t="shared" si="18"/>
        <v>73.7</v>
      </c>
      <c r="I56" s="289">
        <f t="shared" si="26"/>
        <v>7797.46</v>
      </c>
      <c r="J56" s="732">
        <f t="shared" si="19"/>
        <v>7797.46</v>
      </c>
      <c r="K56" s="256">
        <f t="shared" si="20"/>
        <v>93.8</v>
      </c>
      <c r="L56" s="730">
        <f t="shared" si="21"/>
        <v>6913.06</v>
      </c>
      <c r="M56" s="732">
        <f t="shared" si="22"/>
        <v>6913.06</v>
      </c>
    </row>
    <row r="57" spans="1:13" x14ac:dyDescent="0.25">
      <c r="A57" s="91">
        <v>7</v>
      </c>
      <c r="B57" s="730">
        <v>300</v>
      </c>
      <c r="C57" s="91">
        <v>106.1</v>
      </c>
      <c r="D57" s="91">
        <f t="shared" si="23"/>
        <v>106.1</v>
      </c>
      <c r="E57" s="256">
        <v>14.8</v>
      </c>
      <c r="F57" s="256">
        <f t="shared" si="24"/>
        <v>29.6</v>
      </c>
      <c r="G57" s="91">
        <f t="shared" si="25"/>
        <v>135.69999999999999</v>
      </c>
      <c r="H57" s="256">
        <f t="shared" si="18"/>
        <v>73.7</v>
      </c>
      <c r="I57" s="208">
        <f t="shared" si="26"/>
        <v>10001.09</v>
      </c>
      <c r="J57" s="732">
        <f t="shared" si="19"/>
        <v>10001.09</v>
      </c>
      <c r="K57" s="256">
        <f t="shared" si="20"/>
        <v>120.89999999999999</v>
      </c>
      <c r="L57" s="730">
        <f t="shared" si="21"/>
        <v>8910.33</v>
      </c>
      <c r="M57" s="732">
        <f t="shared" si="22"/>
        <v>8910.33</v>
      </c>
    </row>
    <row r="58" spans="1:13" x14ac:dyDescent="0.25">
      <c r="A58" s="91">
        <v>8</v>
      </c>
      <c r="B58" s="261">
        <v>350</v>
      </c>
      <c r="C58" s="91">
        <v>133.5</v>
      </c>
      <c r="D58" s="91">
        <f t="shared" si="23"/>
        <v>133.5</v>
      </c>
      <c r="E58" s="256">
        <v>19</v>
      </c>
      <c r="F58" s="256">
        <f t="shared" si="24"/>
        <v>38</v>
      </c>
      <c r="G58" s="91">
        <f t="shared" si="25"/>
        <v>171.5</v>
      </c>
      <c r="H58" s="256">
        <f t="shared" si="18"/>
        <v>73.7</v>
      </c>
      <c r="I58" s="289">
        <f t="shared" si="26"/>
        <v>12639.550000000001</v>
      </c>
      <c r="J58" s="732">
        <f t="shared" si="19"/>
        <v>12639.550000000001</v>
      </c>
      <c r="K58" s="256">
        <f t="shared" si="20"/>
        <v>152.5</v>
      </c>
      <c r="L58" s="730">
        <f t="shared" si="21"/>
        <v>11239.25</v>
      </c>
      <c r="M58" s="732">
        <f t="shared" si="22"/>
        <v>11239.25</v>
      </c>
    </row>
    <row r="59" spans="1:13" x14ac:dyDescent="0.25">
      <c r="A59" s="91">
        <v>9</v>
      </c>
      <c r="B59" s="730">
        <v>400</v>
      </c>
      <c r="C59" s="91">
        <v>162.6</v>
      </c>
      <c r="D59" s="91">
        <f t="shared" si="23"/>
        <v>162.6</v>
      </c>
      <c r="E59" s="256">
        <v>23.4</v>
      </c>
      <c r="F59" s="256">
        <f t="shared" si="24"/>
        <v>46.8</v>
      </c>
      <c r="G59" s="91">
        <f t="shared" si="25"/>
        <v>209.39999999999998</v>
      </c>
      <c r="H59" s="256">
        <f t="shared" si="18"/>
        <v>73.7</v>
      </c>
      <c r="I59" s="208">
        <f t="shared" si="26"/>
        <v>15432.779999999999</v>
      </c>
      <c r="J59" s="732">
        <f t="shared" si="19"/>
        <v>15432.779999999999</v>
      </c>
      <c r="K59" s="256">
        <f t="shared" si="20"/>
        <v>186</v>
      </c>
      <c r="L59" s="730">
        <f t="shared" si="21"/>
        <v>13708.2</v>
      </c>
      <c r="M59" s="732">
        <f t="shared" si="22"/>
        <v>13708.2</v>
      </c>
    </row>
    <row r="60" spans="1:13" x14ac:dyDescent="0.25">
      <c r="A60" s="91">
        <v>10</v>
      </c>
      <c r="B60" s="261">
        <v>450</v>
      </c>
      <c r="C60" s="91">
        <v>197</v>
      </c>
      <c r="D60" s="91">
        <f t="shared" si="23"/>
        <v>197</v>
      </c>
      <c r="E60" s="256">
        <v>26.5</v>
      </c>
      <c r="F60" s="256">
        <f t="shared" si="24"/>
        <v>53</v>
      </c>
      <c r="G60" s="91">
        <f t="shared" si="25"/>
        <v>250</v>
      </c>
      <c r="H60" s="256">
        <f t="shared" si="18"/>
        <v>73.7</v>
      </c>
      <c r="I60" s="289">
        <f t="shared" si="26"/>
        <v>18425</v>
      </c>
      <c r="J60" s="732">
        <f t="shared" si="19"/>
        <v>18425</v>
      </c>
      <c r="K60" s="256">
        <f t="shared" si="20"/>
        <v>223.5</v>
      </c>
      <c r="L60" s="730">
        <f t="shared" si="21"/>
        <v>16471.95</v>
      </c>
      <c r="M60" s="732">
        <f t="shared" si="22"/>
        <v>16471.95</v>
      </c>
    </row>
    <row r="61" spans="1:13" x14ac:dyDescent="0.25">
      <c r="A61" s="91">
        <v>11</v>
      </c>
      <c r="B61" s="730">
        <v>500</v>
      </c>
      <c r="C61" s="91">
        <v>229.3</v>
      </c>
      <c r="D61" s="91">
        <f t="shared" si="23"/>
        <v>229.3</v>
      </c>
      <c r="E61" s="256">
        <v>32.1</v>
      </c>
      <c r="F61" s="256">
        <f t="shared" si="24"/>
        <v>64.2</v>
      </c>
      <c r="G61" s="91">
        <f t="shared" si="25"/>
        <v>293.5</v>
      </c>
      <c r="H61" s="256">
        <f t="shared" si="18"/>
        <v>73.7</v>
      </c>
      <c r="I61" s="208">
        <f t="shared" si="26"/>
        <v>21630.95</v>
      </c>
      <c r="J61" s="732">
        <f t="shared" si="19"/>
        <v>21630.95</v>
      </c>
      <c r="K61" s="256">
        <f t="shared" si="20"/>
        <v>261.40000000000003</v>
      </c>
      <c r="L61" s="730">
        <f t="shared" si="21"/>
        <v>19265.18</v>
      </c>
      <c r="M61" s="732">
        <f t="shared" si="22"/>
        <v>19265.18</v>
      </c>
    </row>
    <row r="62" spans="1:13" x14ac:dyDescent="0.25">
      <c r="A62" s="91">
        <v>12</v>
      </c>
      <c r="B62" s="261">
        <v>600</v>
      </c>
      <c r="C62" s="91">
        <v>306.5</v>
      </c>
      <c r="D62" s="91">
        <f t="shared" si="23"/>
        <v>306.5</v>
      </c>
      <c r="E62" s="256">
        <v>44</v>
      </c>
      <c r="F62" s="256">
        <f t="shared" si="24"/>
        <v>88</v>
      </c>
      <c r="G62" s="91">
        <f t="shared" si="25"/>
        <v>394.5</v>
      </c>
      <c r="H62" s="256">
        <f t="shared" si="18"/>
        <v>73.7</v>
      </c>
      <c r="I62" s="289">
        <f t="shared" si="26"/>
        <v>29074.65</v>
      </c>
      <c r="J62" s="732">
        <f t="shared" si="19"/>
        <v>29074.65</v>
      </c>
      <c r="K62" s="256">
        <f t="shared" si="20"/>
        <v>350.5</v>
      </c>
      <c r="L62" s="730">
        <f t="shared" si="21"/>
        <v>25831.85</v>
      </c>
      <c r="M62" s="732">
        <f t="shared" si="22"/>
        <v>25831.85</v>
      </c>
    </row>
    <row r="65" spans="1:11" x14ac:dyDescent="0.25">
      <c r="A65" s="2009" t="s">
        <v>744</v>
      </c>
      <c r="B65" s="2009"/>
      <c r="C65" s="2009"/>
      <c r="D65" s="2009"/>
      <c r="E65" s="2009"/>
      <c r="F65" s="2009"/>
      <c r="G65" s="2009"/>
      <c r="H65" s="2009"/>
      <c r="I65" s="2009"/>
    </row>
    <row r="66" spans="1:11" ht="26.25" x14ac:dyDescent="0.25">
      <c r="A66" s="726" t="s">
        <v>729</v>
      </c>
      <c r="B66" s="726" t="s">
        <v>135</v>
      </c>
      <c r="C66" s="726" t="s">
        <v>730</v>
      </c>
      <c r="D66" s="726" t="s">
        <v>745</v>
      </c>
      <c r="E66" s="726" t="s">
        <v>732</v>
      </c>
      <c r="F66" s="726" t="s">
        <v>733</v>
      </c>
      <c r="G66" s="726" t="s">
        <v>734</v>
      </c>
      <c r="H66" s="726" t="s">
        <v>735</v>
      </c>
      <c r="I66" s="726" t="s">
        <v>141</v>
      </c>
      <c r="J66" s="733" t="s">
        <v>736</v>
      </c>
      <c r="K66" s="90"/>
    </row>
    <row r="67" spans="1:11" x14ac:dyDescent="0.25">
      <c r="A67" s="730"/>
      <c r="B67" s="726" t="s">
        <v>739</v>
      </c>
      <c r="C67" s="726"/>
      <c r="D67" s="726"/>
      <c r="E67" s="726"/>
      <c r="F67" s="726"/>
      <c r="G67" s="726"/>
      <c r="H67" s="726"/>
      <c r="I67" s="726"/>
      <c r="J67" s="91"/>
      <c r="K67" s="90"/>
    </row>
    <row r="68" spans="1:11" x14ac:dyDescent="0.25">
      <c r="A68" s="726">
        <v>1</v>
      </c>
      <c r="B68" s="726">
        <v>2</v>
      </c>
      <c r="C68" s="726">
        <v>3</v>
      </c>
      <c r="D68" s="726">
        <v>4</v>
      </c>
      <c r="E68" s="726">
        <v>5</v>
      </c>
      <c r="F68" s="726">
        <v>6</v>
      </c>
      <c r="G68" s="726">
        <v>7</v>
      </c>
      <c r="H68" s="726">
        <v>8</v>
      </c>
      <c r="I68" s="726">
        <v>9</v>
      </c>
      <c r="J68" s="731">
        <v>10</v>
      </c>
      <c r="K68" s="90"/>
    </row>
    <row r="69" spans="1:11" x14ac:dyDescent="0.25">
      <c r="A69" s="91">
        <v>1</v>
      </c>
      <c r="B69" s="730">
        <v>80</v>
      </c>
      <c r="C69" s="91">
        <v>19.8</v>
      </c>
      <c r="D69" s="91">
        <f>C69*2</f>
        <v>39.6</v>
      </c>
      <c r="E69" s="256">
        <v>3.7</v>
      </c>
      <c r="F69" s="256">
        <f>E69*2</f>
        <v>7.4</v>
      </c>
      <c r="G69" s="91">
        <f>D69+F69</f>
        <v>47</v>
      </c>
      <c r="H69" s="256">
        <f t="shared" ref="H69:H80" si="27">$H$15</f>
        <v>73.7</v>
      </c>
      <c r="I69" s="208">
        <f>G69*H69</f>
        <v>3463.9</v>
      </c>
      <c r="J69" s="202">
        <f t="shared" ref="J69:J80" si="28">ROUND(3.43*(($D$6-$D$4)/(1000*100))*G69+0.67*(($D$7-$D$5)/(1000*100))*G69,2)+I69</f>
        <v>3463.9</v>
      </c>
      <c r="K69" s="90"/>
    </row>
    <row r="70" spans="1:11" x14ac:dyDescent="0.25">
      <c r="A70" s="91">
        <v>2</v>
      </c>
      <c r="B70" s="261">
        <v>100</v>
      </c>
      <c r="C70" s="91">
        <v>25.4</v>
      </c>
      <c r="D70" s="91">
        <f t="shared" ref="D70:D80" si="29">C70*2</f>
        <v>50.8</v>
      </c>
      <c r="E70" s="256">
        <v>4.2</v>
      </c>
      <c r="F70" s="256">
        <f t="shared" ref="F70:F80" si="30">E70*2</f>
        <v>8.4</v>
      </c>
      <c r="G70" s="91">
        <f t="shared" ref="G70:G80" si="31">D70+F70</f>
        <v>59.199999999999996</v>
      </c>
      <c r="H70" s="256">
        <f t="shared" si="27"/>
        <v>73.7</v>
      </c>
      <c r="I70" s="289">
        <f t="shared" ref="I70:I80" si="32">G70*H70</f>
        <v>4363.04</v>
      </c>
      <c r="J70" s="202">
        <f t="shared" si="28"/>
        <v>4363.04</v>
      </c>
      <c r="K70" s="90"/>
    </row>
    <row r="71" spans="1:11" x14ac:dyDescent="0.25">
      <c r="A71" s="91">
        <v>3</v>
      </c>
      <c r="B71" s="730">
        <v>125</v>
      </c>
      <c r="C71" s="91">
        <v>33.1</v>
      </c>
      <c r="D71" s="91">
        <f t="shared" si="29"/>
        <v>66.2</v>
      </c>
      <c r="E71" s="256">
        <v>5.3</v>
      </c>
      <c r="F71" s="256">
        <f t="shared" si="30"/>
        <v>10.6</v>
      </c>
      <c r="G71" s="91">
        <f t="shared" si="31"/>
        <v>76.8</v>
      </c>
      <c r="H71" s="256">
        <f t="shared" si="27"/>
        <v>73.7</v>
      </c>
      <c r="I71" s="208">
        <f t="shared" si="32"/>
        <v>5660.16</v>
      </c>
      <c r="J71" s="202">
        <f t="shared" si="28"/>
        <v>5660.16</v>
      </c>
      <c r="K71" s="90"/>
    </row>
    <row r="72" spans="1:11" x14ac:dyDescent="0.25">
      <c r="A72" s="91">
        <v>4</v>
      </c>
      <c r="B72" s="261">
        <v>150</v>
      </c>
      <c r="C72" s="91">
        <v>41.6</v>
      </c>
      <c r="D72" s="91">
        <f t="shared" si="29"/>
        <v>83.2</v>
      </c>
      <c r="E72" s="256">
        <v>6.7</v>
      </c>
      <c r="F72" s="256">
        <f t="shared" si="30"/>
        <v>13.4</v>
      </c>
      <c r="G72" s="91">
        <f t="shared" si="31"/>
        <v>96.600000000000009</v>
      </c>
      <c r="H72" s="256">
        <f t="shared" si="27"/>
        <v>73.7</v>
      </c>
      <c r="I72" s="289">
        <f t="shared" si="32"/>
        <v>7119.420000000001</v>
      </c>
      <c r="J72" s="202">
        <f t="shared" si="28"/>
        <v>7119.420000000001</v>
      </c>
      <c r="K72" s="90"/>
    </row>
    <row r="73" spans="1:11" x14ac:dyDescent="0.25">
      <c r="A73" s="91">
        <v>5</v>
      </c>
      <c r="B73" s="730">
        <v>200</v>
      </c>
      <c r="C73" s="91">
        <v>60.1</v>
      </c>
      <c r="D73" s="91">
        <f t="shared" si="29"/>
        <v>120.2</v>
      </c>
      <c r="E73" s="256">
        <v>9.3000000000000007</v>
      </c>
      <c r="F73" s="256">
        <f t="shared" si="30"/>
        <v>18.600000000000001</v>
      </c>
      <c r="G73" s="91">
        <f t="shared" si="31"/>
        <v>138.80000000000001</v>
      </c>
      <c r="H73" s="256">
        <f t="shared" si="27"/>
        <v>73.7</v>
      </c>
      <c r="I73" s="208">
        <f t="shared" si="32"/>
        <v>10229.560000000001</v>
      </c>
      <c r="J73" s="202">
        <f t="shared" si="28"/>
        <v>10229.560000000001</v>
      </c>
      <c r="K73" s="90"/>
    </row>
    <row r="74" spans="1:11" x14ac:dyDescent="0.25">
      <c r="A74" s="91">
        <v>6</v>
      </c>
      <c r="B74" s="261">
        <v>250</v>
      </c>
      <c r="C74" s="91">
        <v>81.8</v>
      </c>
      <c r="D74" s="91">
        <f t="shared" si="29"/>
        <v>163.6</v>
      </c>
      <c r="E74" s="256">
        <v>12</v>
      </c>
      <c r="F74" s="256">
        <f t="shared" si="30"/>
        <v>24</v>
      </c>
      <c r="G74" s="91">
        <f t="shared" si="31"/>
        <v>187.6</v>
      </c>
      <c r="H74" s="256">
        <f t="shared" si="27"/>
        <v>73.7</v>
      </c>
      <c r="I74" s="289">
        <f t="shared" si="32"/>
        <v>13826.12</v>
      </c>
      <c r="J74" s="202">
        <f t="shared" si="28"/>
        <v>13826.12</v>
      </c>
      <c r="K74" s="90"/>
    </row>
    <row r="75" spans="1:11" x14ac:dyDescent="0.25">
      <c r="A75" s="91">
        <v>7</v>
      </c>
      <c r="B75" s="730">
        <v>300</v>
      </c>
      <c r="C75" s="91">
        <v>106.1</v>
      </c>
      <c r="D75" s="91">
        <f t="shared" si="29"/>
        <v>212.2</v>
      </c>
      <c r="E75" s="256">
        <v>14.8</v>
      </c>
      <c r="F75" s="256">
        <f t="shared" si="30"/>
        <v>29.6</v>
      </c>
      <c r="G75" s="91">
        <f t="shared" si="31"/>
        <v>241.79999999999998</v>
      </c>
      <c r="H75" s="256">
        <f t="shared" si="27"/>
        <v>73.7</v>
      </c>
      <c r="I75" s="208">
        <f t="shared" si="32"/>
        <v>17820.66</v>
      </c>
      <c r="J75" s="202">
        <f t="shared" si="28"/>
        <v>17820.66</v>
      </c>
      <c r="K75" s="90"/>
    </row>
    <row r="76" spans="1:11" x14ac:dyDescent="0.25">
      <c r="A76" s="91">
        <v>8</v>
      </c>
      <c r="B76" s="261">
        <v>350</v>
      </c>
      <c r="C76" s="91">
        <v>133.5</v>
      </c>
      <c r="D76" s="91">
        <f t="shared" si="29"/>
        <v>267</v>
      </c>
      <c r="E76" s="256">
        <v>19</v>
      </c>
      <c r="F76" s="256">
        <f t="shared" si="30"/>
        <v>38</v>
      </c>
      <c r="G76" s="91">
        <f t="shared" si="31"/>
        <v>305</v>
      </c>
      <c r="H76" s="256">
        <f t="shared" si="27"/>
        <v>73.7</v>
      </c>
      <c r="I76" s="289">
        <f t="shared" si="32"/>
        <v>22478.5</v>
      </c>
      <c r="J76" s="202">
        <f t="shared" si="28"/>
        <v>22478.5</v>
      </c>
      <c r="K76" s="90"/>
    </row>
    <row r="77" spans="1:11" x14ac:dyDescent="0.25">
      <c r="A77" s="91">
        <v>9</v>
      </c>
      <c r="B77" s="730">
        <v>400</v>
      </c>
      <c r="C77" s="91">
        <v>162.6</v>
      </c>
      <c r="D77" s="91">
        <f t="shared" si="29"/>
        <v>325.2</v>
      </c>
      <c r="E77" s="256">
        <v>23.4</v>
      </c>
      <c r="F77" s="256">
        <f t="shared" si="30"/>
        <v>46.8</v>
      </c>
      <c r="G77" s="91">
        <f t="shared" si="31"/>
        <v>372</v>
      </c>
      <c r="H77" s="256">
        <f t="shared" si="27"/>
        <v>73.7</v>
      </c>
      <c r="I77" s="208">
        <f t="shared" si="32"/>
        <v>27416.400000000001</v>
      </c>
      <c r="J77" s="202">
        <f t="shared" si="28"/>
        <v>27416.400000000001</v>
      </c>
      <c r="K77" s="90"/>
    </row>
    <row r="78" spans="1:11" x14ac:dyDescent="0.25">
      <c r="A78" s="91">
        <v>10</v>
      </c>
      <c r="B78" s="261">
        <v>450</v>
      </c>
      <c r="C78" s="91">
        <v>197</v>
      </c>
      <c r="D78" s="91">
        <f t="shared" si="29"/>
        <v>394</v>
      </c>
      <c r="E78" s="256">
        <v>26.5</v>
      </c>
      <c r="F78" s="256">
        <f t="shared" si="30"/>
        <v>53</v>
      </c>
      <c r="G78" s="91">
        <f t="shared" si="31"/>
        <v>447</v>
      </c>
      <c r="H78" s="256">
        <f t="shared" si="27"/>
        <v>73.7</v>
      </c>
      <c r="I78" s="289">
        <f t="shared" si="32"/>
        <v>32943.9</v>
      </c>
      <c r="J78" s="202">
        <f t="shared" si="28"/>
        <v>32943.9</v>
      </c>
      <c r="K78" s="90"/>
    </row>
    <row r="79" spans="1:11" x14ac:dyDescent="0.25">
      <c r="A79" s="91">
        <v>11</v>
      </c>
      <c r="B79" s="730">
        <v>500</v>
      </c>
      <c r="C79" s="91">
        <v>229.3</v>
      </c>
      <c r="D79" s="91">
        <f t="shared" si="29"/>
        <v>458.6</v>
      </c>
      <c r="E79" s="256">
        <v>32.1</v>
      </c>
      <c r="F79" s="256">
        <f t="shared" si="30"/>
        <v>64.2</v>
      </c>
      <c r="G79" s="91">
        <f t="shared" si="31"/>
        <v>522.80000000000007</v>
      </c>
      <c r="H79" s="256">
        <f t="shared" si="27"/>
        <v>73.7</v>
      </c>
      <c r="I79" s="208">
        <f t="shared" si="32"/>
        <v>38530.360000000008</v>
      </c>
      <c r="J79" s="202">
        <f t="shared" si="28"/>
        <v>38530.360000000008</v>
      </c>
      <c r="K79" s="90"/>
    </row>
    <row r="80" spans="1:11" x14ac:dyDescent="0.25">
      <c r="A80" s="91">
        <v>12</v>
      </c>
      <c r="B80" s="261">
        <v>600</v>
      </c>
      <c r="C80" s="91">
        <v>306.5</v>
      </c>
      <c r="D80" s="91">
        <f t="shared" si="29"/>
        <v>613</v>
      </c>
      <c r="E80" s="256">
        <v>44</v>
      </c>
      <c r="F80" s="256">
        <f t="shared" si="30"/>
        <v>88</v>
      </c>
      <c r="G80" s="91">
        <f t="shared" si="31"/>
        <v>701</v>
      </c>
      <c r="H80" s="256">
        <f t="shared" si="27"/>
        <v>73.7</v>
      </c>
      <c r="I80" s="289">
        <f t="shared" si="32"/>
        <v>51663.700000000004</v>
      </c>
      <c r="J80" s="202">
        <f t="shared" si="28"/>
        <v>51663.700000000004</v>
      </c>
      <c r="K80" s="90"/>
    </row>
    <row r="83" spans="1:10" x14ac:dyDescent="0.25">
      <c r="A83" s="2009" t="s">
        <v>746</v>
      </c>
      <c r="B83" s="2009"/>
      <c r="C83" s="2009"/>
      <c r="D83" s="2009"/>
      <c r="E83" s="2009"/>
      <c r="F83" s="2009"/>
      <c r="G83" s="2009"/>
      <c r="H83" s="2009"/>
      <c r="I83" s="2009"/>
    </row>
    <row r="84" spans="1:10" ht="26.25" x14ac:dyDescent="0.25">
      <c r="A84" s="726" t="s">
        <v>729</v>
      </c>
      <c r="B84" s="726" t="s">
        <v>135</v>
      </c>
      <c r="C84" s="726" t="s">
        <v>730</v>
      </c>
      <c r="D84" s="726" t="s">
        <v>747</v>
      </c>
      <c r="E84" s="726" t="s">
        <v>732</v>
      </c>
      <c r="F84" s="726" t="s">
        <v>733</v>
      </c>
      <c r="G84" s="726" t="s">
        <v>734</v>
      </c>
      <c r="H84" s="726" t="s">
        <v>735</v>
      </c>
      <c r="I84" s="726" t="s">
        <v>141</v>
      </c>
      <c r="J84" s="733" t="s">
        <v>736</v>
      </c>
    </row>
    <row r="85" spans="1:10" x14ac:dyDescent="0.25">
      <c r="A85" s="730"/>
      <c r="B85" s="726" t="s">
        <v>739</v>
      </c>
      <c r="C85" s="726"/>
      <c r="D85" s="726"/>
      <c r="E85" s="726"/>
      <c r="F85" s="726"/>
      <c r="G85" s="726"/>
      <c r="H85" s="726"/>
      <c r="I85" s="726"/>
      <c r="J85" s="91"/>
    </row>
    <row r="86" spans="1:10" x14ac:dyDescent="0.25">
      <c r="A86" s="726">
        <v>1</v>
      </c>
      <c r="B86" s="726">
        <v>2</v>
      </c>
      <c r="C86" s="726">
        <v>3</v>
      </c>
      <c r="D86" s="726">
        <v>4</v>
      </c>
      <c r="E86" s="726">
        <v>5</v>
      </c>
      <c r="F86" s="726">
        <v>6</v>
      </c>
      <c r="G86" s="726">
        <v>7</v>
      </c>
      <c r="H86" s="726">
        <v>8</v>
      </c>
      <c r="I86" s="726">
        <v>9</v>
      </c>
      <c r="J86" s="731">
        <v>10</v>
      </c>
    </row>
    <row r="87" spans="1:10" x14ac:dyDescent="0.25">
      <c r="A87" s="91">
        <v>1</v>
      </c>
      <c r="B87" s="730">
        <v>80</v>
      </c>
      <c r="C87" s="91">
        <v>19.8</v>
      </c>
      <c r="D87" s="91">
        <f>C87*2.75</f>
        <v>54.45</v>
      </c>
      <c r="E87" s="256">
        <v>3.7</v>
      </c>
      <c r="F87" s="256">
        <f>E87*2</f>
        <v>7.4</v>
      </c>
      <c r="G87" s="91">
        <f>D87+F87</f>
        <v>61.85</v>
      </c>
      <c r="H87" s="256">
        <f t="shared" ref="H87:H98" si="33">$H$15</f>
        <v>73.7</v>
      </c>
      <c r="I87" s="208">
        <f>G87*H87</f>
        <v>4558.3450000000003</v>
      </c>
      <c r="J87" s="202">
        <f t="shared" ref="J87:J98" si="34">ROUND(3.43*(($D$6-$D$4)/(1000*100))*G87+0.67*(($D$7-$D$5)/(1000*100))*G87,2)+I87</f>
        <v>4558.3450000000003</v>
      </c>
    </row>
    <row r="88" spans="1:10" x14ac:dyDescent="0.25">
      <c r="A88" s="91">
        <v>2</v>
      </c>
      <c r="B88" s="261">
        <v>100</v>
      </c>
      <c r="C88" s="91">
        <v>25.4</v>
      </c>
      <c r="D88" s="91">
        <f t="shared" ref="D88:D98" si="35">C88*2.75</f>
        <v>69.849999999999994</v>
      </c>
      <c r="E88" s="256">
        <v>4.2</v>
      </c>
      <c r="F88" s="256">
        <f t="shared" ref="F88:F98" si="36">E88*2</f>
        <v>8.4</v>
      </c>
      <c r="G88" s="91">
        <f t="shared" ref="G88:G98" si="37">D88+F88</f>
        <v>78.25</v>
      </c>
      <c r="H88" s="256">
        <f t="shared" si="33"/>
        <v>73.7</v>
      </c>
      <c r="I88" s="289">
        <f t="shared" ref="I88:I98" si="38">G88*H88</f>
        <v>5767.0250000000005</v>
      </c>
      <c r="J88" s="202">
        <f t="shared" si="34"/>
        <v>5767.0250000000005</v>
      </c>
    </row>
    <row r="89" spans="1:10" x14ac:dyDescent="0.25">
      <c r="A89" s="91">
        <v>3</v>
      </c>
      <c r="B89" s="730">
        <v>125</v>
      </c>
      <c r="C89" s="91">
        <v>33.1</v>
      </c>
      <c r="D89" s="91">
        <f t="shared" si="35"/>
        <v>91.025000000000006</v>
      </c>
      <c r="E89" s="256">
        <v>5.3</v>
      </c>
      <c r="F89" s="256">
        <f t="shared" si="36"/>
        <v>10.6</v>
      </c>
      <c r="G89" s="91">
        <f t="shared" si="37"/>
        <v>101.625</v>
      </c>
      <c r="H89" s="256">
        <f t="shared" si="33"/>
        <v>73.7</v>
      </c>
      <c r="I89" s="208">
        <f t="shared" si="38"/>
        <v>7489.7625000000007</v>
      </c>
      <c r="J89" s="202">
        <f t="shared" si="34"/>
        <v>7489.7625000000007</v>
      </c>
    </row>
    <row r="90" spans="1:10" x14ac:dyDescent="0.25">
      <c r="A90" s="91">
        <v>4</v>
      </c>
      <c r="B90" s="261">
        <v>150</v>
      </c>
      <c r="C90" s="91">
        <v>41.6</v>
      </c>
      <c r="D90" s="91">
        <f t="shared" si="35"/>
        <v>114.4</v>
      </c>
      <c r="E90" s="256">
        <v>6.7</v>
      </c>
      <c r="F90" s="256">
        <f t="shared" si="36"/>
        <v>13.4</v>
      </c>
      <c r="G90" s="91">
        <f t="shared" si="37"/>
        <v>127.80000000000001</v>
      </c>
      <c r="H90" s="256">
        <f t="shared" si="33"/>
        <v>73.7</v>
      </c>
      <c r="I90" s="289">
        <f t="shared" si="38"/>
        <v>9418.86</v>
      </c>
      <c r="J90" s="202">
        <f t="shared" si="34"/>
        <v>9418.86</v>
      </c>
    </row>
    <row r="91" spans="1:10" x14ac:dyDescent="0.25">
      <c r="A91" s="91">
        <v>5</v>
      </c>
      <c r="B91" s="730">
        <v>200</v>
      </c>
      <c r="C91" s="91">
        <v>60.1</v>
      </c>
      <c r="D91" s="91">
        <f t="shared" si="35"/>
        <v>165.27500000000001</v>
      </c>
      <c r="E91" s="256">
        <v>9.3000000000000007</v>
      </c>
      <c r="F91" s="256">
        <f t="shared" si="36"/>
        <v>18.600000000000001</v>
      </c>
      <c r="G91" s="91">
        <f t="shared" si="37"/>
        <v>183.875</v>
      </c>
      <c r="H91" s="256">
        <f t="shared" si="33"/>
        <v>73.7</v>
      </c>
      <c r="I91" s="208">
        <f t="shared" si="38"/>
        <v>13551.5875</v>
      </c>
      <c r="J91" s="202">
        <f t="shared" si="34"/>
        <v>13551.5875</v>
      </c>
    </row>
    <row r="92" spans="1:10" x14ac:dyDescent="0.25">
      <c r="A92" s="91">
        <v>6</v>
      </c>
      <c r="B92" s="261">
        <v>250</v>
      </c>
      <c r="C92" s="91">
        <v>81.8</v>
      </c>
      <c r="D92" s="91">
        <f t="shared" si="35"/>
        <v>224.95</v>
      </c>
      <c r="E92" s="256">
        <v>12</v>
      </c>
      <c r="F92" s="256">
        <f t="shared" si="36"/>
        <v>24</v>
      </c>
      <c r="G92" s="91">
        <f t="shared" si="37"/>
        <v>248.95</v>
      </c>
      <c r="H92" s="256">
        <f t="shared" si="33"/>
        <v>73.7</v>
      </c>
      <c r="I92" s="289">
        <f t="shared" si="38"/>
        <v>18347.615000000002</v>
      </c>
      <c r="J92" s="202">
        <f t="shared" si="34"/>
        <v>18347.615000000002</v>
      </c>
    </row>
    <row r="93" spans="1:10" x14ac:dyDescent="0.25">
      <c r="A93" s="91">
        <v>7</v>
      </c>
      <c r="B93" s="730">
        <v>300</v>
      </c>
      <c r="C93" s="91">
        <v>106.1</v>
      </c>
      <c r="D93" s="91">
        <f t="shared" si="35"/>
        <v>291.77499999999998</v>
      </c>
      <c r="E93" s="256">
        <v>14.8</v>
      </c>
      <c r="F93" s="256">
        <f t="shared" si="36"/>
        <v>29.6</v>
      </c>
      <c r="G93" s="91">
        <f t="shared" si="37"/>
        <v>321.375</v>
      </c>
      <c r="H93" s="256">
        <f t="shared" si="33"/>
        <v>73.7</v>
      </c>
      <c r="I93" s="208">
        <f t="shared" si="38"/>
        <v>23685.337500000001</v>
      </c>
      <c r="J93" s="202">
        <f t="shared" si="34"/>
        <v>23685.337500000001</v>
      </c>
    </row>
    <row r="94" spans="1:10" x14ac:dyDescent="0.25">
      <c r="A94" s="91">
        <v>8</v>
      </c>
      <c r="B94" s="261">
        <v>350</v>
      </c>
      <c r="C94" s="91">
        <v>133.5</v>
      </c>
      <c r="D94" s="91">
        <f t="shared" si="35"/>
        <v>367.125</v>
      </c>
      <c r="E94" s="256">
        <v>19</v>
      </c>
      <c r="F94" s="256">
        <f t="shared" si="36"/>
        <v>38</v>
      </c>
      <c r="G94" s="91">
        <f t="shared" si="37"/>
        <v>405.125</v>
      </c>
      <c r="H94" s="256">
        <f t="shared" si="33"/>
        <v>73.7</v>
      </c>
      <c r="I94" s="289">
        <f t="shared" si="38"/>
        <v>29857.712500000001</v>
      </c>
      <c r="J94" s="202">
        <f t="shared" si="34"/>
        <v>29857.712500000001</v>
      </c>
    </row>
    <row r="95" spans="1:10" x14ac:dyDescent="0.25">
      <c r="A95" s="91">
        <v>9</v>
      </c>
      <c r="B95" s="730">
        <v>400</v>
      </c>
      <c r="C95" s="91">
        <v>162.6</v>
      </c>
      <c r="D95" s="91">
        <f t="shared" si="35"/>
        <v>447.15</v>
      </c>
      <c r="E95" s="256">
        <v>23.4</v>
      </c>
      <c r="F95" s="256">
        <f t="shared" si="36"/>
        <v>46.8</v>
      </c>
      <c r="G95" s="91">
        <f t="shared" si="37"/>
        <v>493.95</v>
      </c>
      <c r="H95" s="256">
        <f t="shared" si="33"/>
        <v>73.7</v>
      </c>
      <c r="I95" s="208">
        <f t="shared" si="38"/>
        <v>36404.114999999998</v>
      </c>
      <c r="J95" s="202">
        <f t="shared" si="34"/>
        <v>36404.114999999998</v>
      </c>
    </row>
    <row r="96" spans="1:10" x14ac:dyDescent="0.25">
      <c r="A96" s="91">
        <v>10</v>
      </c>
      <c r="B96" s="261">
        <v>450</v>
      </c>
      <c r="C96" s="91">
        <v>197</v>
      </c>
      <c r="D96" s="91">
        <f t="shared" si="35"/>
        <v>541.75</v>
      </c>
      <c r="E96" s="256">
        <v>26.5</v>
      </c>
      <c r="F96" s="256">
        <f t="shared" si="36"/>
        <v>53</v>
      </c>
      <c r="G96" s="91">
        <f t="shared" si="37"/>
        <v>594.75</v>
      </c>
      <c r="H96" s="256">
        <f t="shared" si="33"/>
        <v>73.7</v>
      </c>
      <c r="I96" s="289">
        <f t="shared" si="38"/>
        <v>43833.075000000004</v>
      </c>
      <c r="J96" s="202">
        <f t="shared" si="34"/>
        <v>43833.075000000004</v>
      </c>
    </row>
    <row r="97" spans="1:11" x14ac:dyDescent="0.25">
      <c r="A97" s="91">
        <v>11</v>
      </c>
      <c r="B97" s="730">
        <v>500</v>
      </c>
      <c r="C97" s="91">
        <v>229.3</v>
      </c>
      <c r="D97" s="91">
        <f t="shared" si="35"/>
        <v>630.57500000000005</v>
      </c>
      <c r="E97" s="256">
        <v>32.1</v>
      </c>
      <c r="F97" s="256">
        <f t="shared" si="36"/>
        <v>64.2</v>
      </c>
      <c r="G97" s="91">
        <f t="shared" si="37"/>
        <v>694.77500000000009</v>
      </c>
      <c r="H97" s="256">
        <f t="shared" si="33"/>
        <v>73.7</v>
      </c>
      <c r="I97" s="208">
        <f t="shared" si="38"/>
        <v>51204.91750000001</v>
      </c>
      <c r="J97" s="202">
        <f t="shared" si="34"/>
        <v>51204.91750000001</v>
      </c>
    </row>
    <row r="98" spans="1:11" x14ac:dyDescent="0.25">
      <c r="A98" s="91">
        <v>12</v>
      </c>
      <c r="B98" s="261">
        <v>600</v>
      </c>
      <c r="C98" s="91">
        <v>306.5</v>
      </c>
      <c r="D98" s="91">
        <f t="shared" si="35"/>
        <v>842.875</v>
      </c>
      <c r="E98" s="256">
        <v>44</v>
      </c>
      <c r="F98" s="256">
        <f t="shared" si="36"/>
        <v>88</v>
      </c>
      <c r="G98" s="91">
        <f t="shared" si="37"/>
        <v>930.875</v>
      </c>
      <c r="H98" s="256">
        <f t="shared" si="33"/>
        <v>73.7</v>
      </c>
      <c r="I98" s="289">
        <f t="shared" si="38"/>
        <v>68605.487500000003</v>
      </c>
      <c r="J98" s="202">
        <f t="shared" si="34"/>
        <v>68605.487500000003</v>
      </c>
    </row>
    <row r="101" spans="1:11" x14ac:dyDescent="0.25">
      <c r="B101" s="2011" t="s">
        <v>748</v>
      </c>
      <c r="C101" s="2011"/>
      <c r="D101" s="2011"/>
      <c r="E101" s="2011"/>
      <c r="F101" s="2011"/>
      <c r="G101" s="2011"/>
      <c r="H101" s="2011"/>
      <c r="I101" s="2011"/>
      <c r="J101" s="2011"/>
      <c r="K101" s="2011"/>
    </row>
    <row r="102" spans="1:11" ht="57" x14ac:dyDescent="0.25">
      <c r="B102" s="734" t="s">
        <v>749</v>
      </c>
      <c r="C102" s="734" t="s">
        <v>750</v>
      </c>
      <c r="D102" s="735" t="s">
        <v>751</v>
      </c>
      <c r="E102" s="734" t="s">
        <v>752</v>
      </c>
      <c r="F102" s="736" t="s">
        <v>753</v>
      </c>
      <c r="G102" s="734" t="s">
        <v>754</v>
      </c>
      <c r="H102" s="734" t="s">
        <v>755</v>
      </c>
      <c r="I102" s="735" t="s">
        <v>756</v>
      </c>
      <c r="J102" s="737" t="s">
        <v>757</v>
      </c>
      <c r="K102" s="738" t="s">
        <v>758</v>
      </c>
    </row>
    <row r="103" spans="1:11" ht="15.75" x14ac:dyDescent="0.3">
      <c r="B103" s="297">
        <v>80</v>
      </c>
      <c r="C103" s="739">
        <f>J69</f>
        <v>3463.9</v>
      </c>
      <c r="D103" s="740">
        <f>J33</f>
        <v>1858.7139999999999</v>
      </c>
      <c r="E103" s="741">
        <f>J15</f>
        <v>1420.9360000000001</v>
      </c>
      <c r="F103" s="742">
        <f>H182</f>
        <v>515.9</v>
      </c>
      <c r="G103" s="743">
        <f>H124</f>
        <v>958.1</v>
      </c>
      <c r="H103" s="744">
        <f>M15</f>
        <v>1148.25</v>
      </c>
      <c r="I103" s="745">
        <f>H162</f>
        <v>1547.7</v>
      </c>
      <c r="J103" s="746">
        <f>H200</f>
        <v>1842.5</v>
      </c>
      <c r="K103" s="732">
        <f>SSR!I54</f>
        <v>11025</v>
      </c>
    </row>
    <row r="104" spans="1:11" ht="15.75" x14ac:dyDescent="0.3">
      <c r="B104" s="297">
        <v>100</v>
      </c>
      <c r="C104" s="739">
        <f t="shared" ref="C104:C114" si="39">J70</f>
        <v>4363.04</v>
      </c>
      <c r="D104" s="740">
        <f t="shared" ref="D104:D114" si="40">J34</f>
        <v>2303.8620000000001</v>
      </c>
      <c r="E104" s="741">
        <f t="shared" ref="E104:E114" si="41">J16</f>
        <v>1742.268</v>
      </c>
      <c r="F104" s="742">
        <f t="shared" ref="F104:F114" si="42">H183</f>
        <v>663.30000000000007</v>
      </c>
      <c r="G104" s="743">
        <f t="shared" ref="G104:G114" si="43">H125</f>
        <v>1252.9000000000001</v>
      </c>
      <c r="H104" s="744">
        <f t="shared" ref="H104:H114" si="44">M16</f>
        <v>1432.73</v>
      </c>
      <c r="I104" s="745">
        <f t="shared" ref="I104:I114" si="45">H163</f>
        <v>1916.2</v>
      </c>
      <c r="J104" s="746">
        <f t="shared" ref="J104:J111" si="46">H201</f>
        <v>2579.5</v>
      </c>
      <c r="K104" s="732">
        <f>SSR!I55</f>
        <v>12368</v>
      </c>
    </row>
    <row r="105" spans="1:11" ht="15.75" x14ac:dyDescent="0.3">
      <c r="B105" s="297">
        <v>125</v>
      </c>
      <c r="C105" s="739">
        <f t="shared" si="39"/>
        <v>5660.16</v>
      </c>
      <c r="D105" s="740">
        <f t="shared" si="40"/>
        <v>2976.7429999999999</v>
      </c>
      <c r="E105" s="741">
        <f t="shared" si="41"/>
        <v>2244.902</v>
      </c>
      <c r="F105" s="742">
        <f t="shared" si="42"/>
        <v>884.40000000000009</v>
      </c>
      <c r="G105" s="743">
        <f t="shared" si="43"/>
        <v>1695.1000000000001</v>
      </c>
      <c r="H105" s="744">
        <f t="shared" si="44"/>
        <v>1854.29</v>
      </c>
      <c r="I105" s="745">
        <f t="shared" si="45"/>
        <v>2653.2000000000003</v>
      </c>
      <c r="J105" s="746">
        <f t="shared" si="46"/>
        <v>3316.5</v>
      </c>
      <c r="K105" s="732">
        <f>SSR!I56</f>
        <v>15843</v>
      </c>
    </row>
    <row r="106" spans="1:11" ht="15.75" x14ac:dyDescent="0.3">
      <c r="B106" s="297">
        <v>150</v>
      </c>
      <c r="C106" s="739">
        <f t="shared" si="39"/>
        <v>7119.420000000001</v>
      </c>
      <c r="D106" s="740">
        <f t="shared" si="40"/>
        <v>3746.9080000000004</v>
      </c>
      <c r="E106" s="741">
        <f t="shared" si="41"/>
        <v>2827.1320000000001</v>
      </c>
      <c r="F106" s="742">
        <f t="shared" si="42"/>
        <v>1105.5</v>
      </c>
      <c r="G106" s="743">
        <f t="shared" si="43"/>
        <v>2284.7000000000003</v>
      </c>
      <c r="H106" s="744">
        <f t="shared" si="44"/>
        <v>2333.34</v>
      </c>
      <c r="I106" s="745">
        <f t="shared" si="45"/>
        <v>3463.9</v>
      </c>
      <c r="J106" s="746">
        <f t="shared" si="46"/>
        <v>4790.5</v>
      </c>
      <c r="K106" s="732">
        <f>SSR!I57</f>
        <v>19473</v>
      </c>
    </row>
    <row r="107" spans="1:11" ht="15.75" x14ac:dyDescent="0.3">
      <c r="B107" s="297">
        <v>200</v>
      </c>
      <c r="C107" s="739">
        <f t="shared" si="39"/>
        <v>10229.560000000001</v>
      </c>
      <c r="D107" s="740">
        <f t="shared" si="40"/>
        <v>5357.2529999999997</v>
      </c>
      <c r="E107" s="741">
        <f t="shared" si="41"/>
        <v>4028.4420000000005</v>
      </c>
      <c r="F107" s="742">
        <f t="shared" si="42"/>
        <v>1695.1000000000001</v>
      </c>
      <c r="G107" s="743">
        <f t="shared" si="43"/>
        <v>3611.3</v>
      </c>
      <c r="H107" s="744">
        <f t="shared" si="44"/>
        <v>3343.03</v>
      </c>
      <c r="I107" s="745">
        <f t="shared" si="45"/>
        <v>5453.8</v>
      </c>
      <c r="J107" s="746">
        <f t="shared" si="46"/>
        <v>7370</v>
      </c>
      <c r="K107" s="732">
        <f>SSR!I58</f>
        <v>28613</v>
      </c>
    </row>
    <row r="108" spans="1:11" ht="15.75" x14ac:dyDescent="0.3">
      <c r="B108" s="297">
        <v>250</v>
      </c>
      <c r="C108" s="739">
        <f t="shared" si="39"/>
        <v>13826.12</v>
      </c>
      <c r="D108" s="740">
        <f t="shared" si="40"/>
        <v>7194.594000000001</v>
      </c>
      <c r="E108" s="741">
        <f t="shared" si="41"/>
        <v>5385.9960000000001</v>
      </c>
      <c r="F108" s="742">
        <f t="shared" si="42"/>
        <v>2284.7000000000003</v>
      </c>
      <c r="G108" s="743">
        <f t="shared" si="43"/>
        <v>5306.4000000000005</v>
      </c>
      <c r="H108" s="744">
        <f t="shared" si="44"/>
        <v>4501.6000000000004</v>
      </c>
      <c r="I108" s="745">
        <f t="shared" si="45"/>
        <v>8180.7000000000007</v>
      </c>
      <c r="J108" s="746">
        <f t="shared" si="46"/>
        <v>11792</v>
      </c>
      <c r="K108" s="732">
        <f>SSR!I59</f>
        <v>36488</v>
      </c>
    </row>
    <row r="109" spans="1:11" ht="15.75" x14ac:dyDescent="0.3">
      <c r="B109" s="297">
        <v>300</v>
      </c>
      <c r="C109" s="739">
        <f t="shared" si="39"/>
        <v>17820.66</v>
      </c>
      <c r="D109" s="740">
        <f t="shared" si="40"/>
        <v>9219.1329999999998</v>
      </c>
      <c r="E109" s="741">
        <f t="shared" si="41"/>
        <v>6873.2619999999997</v>
      </c>
      <c r="F109" s="742">
        <f t="shared" si="42"/>
        <v>3316.5</v>
      </c>
      <c r="G109" s="743">
        <f t="shared" si="43"/>
        <v>7370</v>
      </c>
      <c r="H109" s="744">
        <f t="shared" si="44"/>
        <v>5782.5</v>
      </c>
      <c r="I109" s="745">
        <f t="shared" si="45"/>
        <v>11497.2</v>
      </c>
      <c r="J109" s="746">
        <f t="shared" si="46"/>
        <v>15477</v>
      </c>
      <c r="K109" s="732">
        <f>SSR!I60</f>
        <v>67740</v>
      </c>
    </row>
    <row r="110" spans="1:11" ht="15.75" x14ac:dyDescent="0.3">
      <c r="B110" s="737">
        <v>350</v>
      </c>
      <c r="C110" s="739">
        <f t="shared" si="39"/>
        <v>22478.5</v>
      </c>
      <c r="D110" s="740">
        <f t="shared" si="40"/>
        <v>11655.655000000001</v>
      </c>
      <c r="E110" s="741">
        <f t="shared" si="41"/>
        <v>8703.9699999999993</v>
      </c>
      <c r="F110" s="742">
        <f t="shared" si="42"/>
        <v>4274.6000000000004</v>
      </c>
      <c r="G110" s="743">
        <f t="shared" si="43"/>
        <v>10096.9</v>
      </c>
      <c r="H110" s="744">
        <f t="shared" si="44"/>
        <v>7303.67</v>
      </c>
      <c r="I110" s="745">
        <f t="shared" si="45"/>
        <v>15771.800000000001</v>
      </c>
      <c r="J110" s="746">
        <f t="shared" si="46"/>
        <v>25058</v>
      </c>
      <c r="K110" s="732">
        <f>SSR!I61</f>
        <v>94238</v>
      </c>
    </row>
    <row r="111" spans="1:11" ht="15.75" x14ac:dyDescent="0.3">
      <c r="B111" s="737">
        <v>400</v>
      </c>
      <c r="C111" s="739">
        <f t="shared" si="39"/>
        <v>27416.400000000001</v>
      </c>
      <c r="D111" s="740">
        <f t="shared" si="40"/>
        <v>14234.418</v>
      </c>
      <c r="E111" s="741">
        <f t="shared" si="41"/>
        <v>10639.331999999999</v>
      </c>
      <c r="F111" s="742">
        <f t="shared" si="42"/>
        <v>5896</v>
      </c>
      <c r="G111" s="743">
        <f t="shared" si="43"/>
        <v>13339.7</v>
      </c>
      <c r="H111" s="744">
        <f t="shared" si="44"/>
        <v>8914.75</v>
      </c>
      <c r="I111" s="745">
        <f t="shared" si="45"/>
        <v>20709.7</v>
      </c>
      <c r="J111" s="746">
        <f t="shared" si="46"/>
        <v>20267.5</v>
      </c>
      <c r="K111" s="732">
        <f>SSR!I62</f>
        <v>120488</v>
      </c>
    </row>
    <row r="112" spans="1:11" ht="15.75" x14ac:dyDescent="0.3">
      <c r="B112" s="737">
        <v>450</v>
      </c>
      <c r="C112" s="739">
        <f t="shared" si="39"/>
        <v>32943.9</v>
      </c>
      <c r="D112" s="740">
        <f t="shared" si="40"/>
        <v>16973.11</v>
      </c>
      <c r="E112" s="741">
        <f t="shared" si="41"/>
        <v>12617.44</v>
      </c>
      <c r="F112" s="742">
        <f t="shared" si="42"/>
        <v>6854.1</v>
      </c>
      <c r="G112" s="743">
        <f t="shared" si="43"/>
        <v>16656.2</v>
      </c>
      <c r="H112" s="744">
        <f t="shared" si="44"/>
        <v>10664.39</v>
      </c>
      <c r="I112" s="745">
        <f t="shared" si="45"/>
        <v>25795</v>
      </c>
      <c r="J112" s="747"/>
      <c r="K112" s="732">
        <f>SSR!I63</f>
        <v>197925</v>
      </c>
    </row>
    <row r="113" spans="2:11" ht="15.75" x14ac:dyDescent="0.3">
      <c r="B113" s="737">
        <v>500</v>
      </c>
      <c r="C113" s="739">
        <f t="shared" si="39"/>
        <v>38530.360000000008</v>
      </c>
      <c r="D113" s="740">
        <f t="shared" si="40"/>
        <v>19941.009000000002</v>
      </c>
      <c r="E113" s="741">
        <f t="shared" si="41"/>
        <v>14871.186000000003</v>
      </c>
      <c r="F113" s="742">
        <f t="shared" si="42"/>
        <v>8844</v>
      </c>
      <c r="G113" s="743">
        <f t="shared" si="43"/>
        <v>21373</v>
      </c>
      <c r="H113" s="744">
        <f t="shared" si="44"/>
        <v>12505.42</v>
      </c>
      <c r="I113" s="745">
        <f t="shared" si="45"/>
        <v>32870.200000000004</v>
      </c>
      <c r="J113" s="747"/>
      <c r="K113" s="732">
        <f>SSR!I64</f>
        <v>253050</v>
      </c>
    </row>
    <row r="114" spans="2:11" ht="15.75" x14ac:dyDescent="0.3">
      <c r="B114" s="737">
        <v>600</v>
      </c>
      <c r="C114" s="739">
        <f t="shared" si="39"/>
        <v>51663.700000000004</v>
      </c>
      <c r="D114" s="740">
        <f t="shared" si="40"/>
        <v>26815.745000000003</v>
      </c>
      <c r="E114" s="741">
        <f t="shared" si="41"/>
        <v>20039.03</v>
      </c>
      <c r="F114" s="742">
        <f t="shared" si="42"/>
        <v>14813.7</v>
      </c>
      <c r="G114" s="743">
        <f t="shared" si="43"/>
        <v>32575.4</v>
      </c>
      <c r="H114" s="744">
        <f t="shared" si="44"/>
        <v>16796.23</v>
      </c>
      <c r="I114" s="745">
        <f t="shared" si="45"/>
        <v>49157.9</v>
      </c>
      <c r="J114" s="747"/>
      <c r="K114" s="732">
        <f>SSR!I65</f>
        <v>358050</v>
      </c>
    </row>
    <row r="117" spans="2:11" x14ac:dyDescent="0.25">
      <c r="B117" s="748" t="s">
        <v>759</v>
      </c>
    </row>
    <row r="118" spans="2:11" x14ac:dyDescent="0.25">
      <c r="B118" s="97"/>
    </row>
    <row r="119" spans="2:11" x14ac:dyDescent="0.25">
      <c r="B119" s="97"/>
    </row>
    <row r="120" spans="2:11" x14ac:dyDescent="0.25">
      <c r="B120" s="2008" t="s">
        <v>760</v>
      </c>
      <c r="C120" s="2008"/>
      <c r="D120" s="2008"/>
      <c r="E120" s="2008"/>
      <c r="F120" s="2008"/>
      <c r="G120" s="2008"/>
    </row>
    <row r="121" spans="2:11" x14ac:dyDescent="0.25">
      <c r="B121" s="726" t="s">
        <v>729</v>
      </c>
      <c r="C121" s="726" t="s">
        <v>135</v>
      </c>
      <c r="D121" s="726" t="s">
        <v>761</v>
      </c>
      <c r="E121" s="726"/>
      <c r="F121" s="726" t="s">
        <v>735</v>
      </c>
      <c r="G121" s="726" t="s">
        <v>141</v>
      </c>
      <c r="H121" s="729" t="s">
        <v>736</v>
      </c>
    </row>
    <row r="122" spans="2:11" x14ac:dyDescent="0.25">
      <c r="B122" s="730"/>
      <c r="C122" s="726" t="s">
        <v>739</v>
      </c>
      <c r="D122" s="726" t="s">
        <v>762</v>
      </c>
      <c r="E122" s="726"/>
      <c r="F122" s="726"/>
      <c r="G122" s="726"/>
      <c r="H122" s="91"/>
    </row>
    <row r="123" spans="2:11" x14ac:dyDescent="0.25">
      <c r="B123" s="726">
        <v>1</v>
      </c>
      <c r="C123" s="726">
        <v>2</v>
      </c>
      <c r="D123" s="726">
        <v>3</v>
      </c>
      <c r="E123" s="726"/>
      <c r="F123" s="726">
        <v>8</v>
      </c>
      <c r="G123" s="726">
        <v>9</v>
      </c>
      <c r="H123" s="731">
        <v>10</v>
      </c>
    </row>
    <row r="124" spans="2:11" x14ac:dyDescent="0.25">
      <c r="B124" s="91">
        <v>1</v>
      </c>
      <c r="C124" s="730">
        <v>80</v>
      </c>
      <c r="D124" s="256">
        <v>13</v>
      </c>
      <c r="E124" s="91"/>
      <c r="F124" s="256">
        <f>+$F$2</f>
        <v>73.7</v>
      </c>
      <c r="G124" s="208">
        <f>D124*F124</f>
        <v>958.1</v>
      </c>
      <c r="H124" s="202">
        <f t="shared" ref="H124:H135" si="47">ROUND(3.43*(($D$6-$D$4)/(1000*100))*D124+0.67*(($D$7-$D$5)/(1000*100))*D124,2)+G124</f>
        <v>958.1</v>
      </c>
    </row>
    <row r="125" spans="2:11" x14ac:dyDescent="0.25">
      <c r="B125" s="91">
        <v>2</v>
      </c>
      <c r="C125" s="261">
        <v>100</v>
      </c>
      <c r="D125" s="256">
        <v>17</v>
      </c>
      <c r="E125" s="91"/>
      <c r="F125" s="256">
        <f t="shared" ref="F125:F135" si="48">+$F$2</f>
        <v>73.7</v>
      </c>
      <c r="G125" s="208">
        <f t="shared" ref="G125:G135" si="49">D125*F125</f>
        <v>1252.9000000000001</v>
      </c>
      <c r="H125" s="202">
        <f t="shared" si="47"/>
        <v>1252.9000000000001</v>
      </c>
    </row>
    <row r="126" spans="2:11" x14ac:dyDescent="0.25">
      <c r="B126" s="91">
        <v>3</v>
      </c>
      <c r="C126" s="730">
        <v>125</v>
      </c>
      <c r="D126" s="256">
        <v>23</v>
      </c>
      <c r="E126" s="91"/>
      <c r="F126" s="256">
        <f t="shared" si="48"/>
        <v>73.7</v>
      </c>
      <c r="G126" s="208">
        <f t="shared" si="49"/>
        <v>1695.1000000000001</v>
      </c>
      <c r="H126" s="202">
        <f t="shared" si="47"/>
        <v>1695.1000000000001</v>
      </c>
    </row>
    <row r="127" spans="2:11" x14ac:dyDescent="0.25">
      <c r="B127" s="91">
        <v>4</v>
      </c>
      <c r="C127" s="261">
        <v>150</v>
      </c>
      <c r="D127" s="256">
        <v>31</v>
      </c>
      <c r="E127" s="91"/>
      <c r="F127" s="256">
        <f t="shared" si="48"/>
        <v>73.7</v>
      </c>
      <c r="G127" s="208">
        <f t="shared" si="49"/>
        <v>2284.7000000000003</v>
      </c>
      <c r="H127" s="202">
        <f t="shared" si="47"/>
        <v>2284.7000000000003</v>
      </c>
    </row>
    <row r="128" spans="2:11" x14ac:dyDescent="0.25">
      <c r="B128" s="91">
        <v>5</v>
      </c>
      <c r="C128" s="730">
        <v>200</v>
      </c>
      <c r="D128" s="256">
        <v>49</v>
      </c>
      <c r="E128" s="91"/>
      <c r="F128" s="256">
        <f t="shared" si="48"/>
        <v>73.7</v>
      </c>
      <c r="G128" s="208">
        <f t="shared" si="49"/>
        <v>3611.3</v>
      </c>
      <c r="H128" s="202">
        <f t="shared" si="47"/>
        <v>3611.3</v>
      </c>
    </row>
    <row r="129" spans="2:8" x14ac:dyDescent="0.25">
      <c r="B129" s="91">
        <v>6</v>
      </c>
      <c r="C129" s="261">
        <v>250</v>
      </c>
      <c r="D129" s="256">
        <v>72</v>
      </c>
      <c r="E129" s="91"/>
      <c r="F129" s="256">
        <f t="shared" si="48"/>
        <v>73.7</v>
      </c>
      <c r="G129" s="208">
        <f t="shared" si="49"/>
        <v>5306.4000000000005</v>
      </c>
      <c r="H129" s="202">
        <f t="shared" si="47"/>
        <v>5306.4000000000005</v>
      </c>
    </row>
    <row r="130" spans="2:8" x14ac:dyDescent="0.25">
      <c r="B130" s="91">
        <v>7</v>
      </c>
      <c r="C130" s="730">
        <v>300</v>
      </c>
      <c r="D130" s="256">
        <v>100</v>
      </c>
      <c r="E130" s="91"/>
      <c r="F130" s="256">
        <f t="shared" si="48"/>
        <v>73.7</v>
      </c>
      <c r="G130" s="208">
        <f t="shared" si="49"/>
        <v>7370</v>
      </c>
      <c r="H130" s="202">
        <f t="shared" si="47"/>
        <v>7370</v>
      </c>
    </row>
    <row r="131" spans="2:8" x14ac:dyDescent="0.25">
      <c r="B131" s="91">
        <v>8</v>
      </c>
      <c r="C131" s="730">
        <v>350</v>
      </c>
      <c r="D131" s="256">
        <v>137</v>
      </c>
      <c r="E131" s="91"/>
      <c r="F131" s="256">
        <f t="shared" si="48"/>
        <v>73.7</v>
      </c>
      <c r="G131" s="208">
        <f t="shared" si="49"/>
        <v>10096.9</v>
      </c>
      <c r="H131" s="202">
        <f t="shared" si="47"/>
        <v>10096.9</v>
      </c>
    </row>
    <row r="132" spans="2:8" x14ac:dyDescent="0.25">
      <c r="B132" s="91">
        <v>9</v>
      </c>
      <c r="C132" s="730">
        <v>400</v>
      </c>
      <c r="D132" s="256">
        <v>181</v>
      </c>
      <c r="E132" s="91"/>
      <c r="F132" s="256">
        <f t="shared" si="48"/>
        <v>73.7</v>
      </c>
      <c r="G132" s="208">
        <f t="shared" si="49"/>
        <v>13339.7</v>
      </c>
      <c r="H132" s="202">
        <f t="shared" si="47"/>
        <v>13339.7</v>
      </c>
    </row>
    <row r="133" spans="2:8" x14ac:dyDescent="0.25">
      <c r="B133" s="91">
        <v>10</v>
      </c>
      <c r="C133" s="730">
        <v>450</v>
      </c>
      <c r="D133" s="256">
        <v>226</v>
      </c>
      <c r="E133" s="91"/>
      <c r="F133" s="256">
        <f t="shared" si="48"/>
        <v>73.7</v>
      </c>
      <c r="G133" s="208">
        <f t="shared" si="49"/>
        <v>16656.2</v>
      </c>
      <c r="H133" s="202">
        <f t="shared" si="47"/>
        <v>16656.2</v>
      </c>
    </row>
    <row r="134" spans="2:8" x14ac:dyDescent="0.25">
      <c r="B134" s="91">
        <v>11</v>
      </c>
      <c r="C134" s="730">
        <v>500</v>
      </c>
      <c r="D134" s="256">
        <v>290</v>
      </c>
      <c r="E134" s="91"/>
      <c r="F134" s="256">
        <f t="shared" si="48"/>
        <v>73.7</v>
      </c>
      <c r="G134" s="208">
        <f t="shared" si="49"/>
        <v>21373</v>
      </c>
      <c r="H134" s="202">
        <f t="shared" si="47"/>
        <v>21373</v>
      </c>
    </row>
    <row r="135" spans="2:8" x14ac:dyDescent="0.25">
      <c r="B135" s="91">
        <v>12</v>
      </c>
      <c r="C135" s="730">
        <v>600</v>
      </c>
      <c r="D135" s="256">
        <v>442</v>
      </c>
      <c r="E135" s="91"/>
      <c r="F135" s="256">
        <f t="shared" si="48"/>
        <v>73.7</v>
      </c>
      <c r="G135" s="208">
        <f t="shared" si="49"/>
        <v>32575.4</v>
      </c>
      <c r="H135" s="202">
        <f t="shared" si="47"/>
        <v>32575.4</v>
      </c>
    </row>
    <row r="136" spans="2:8" x14ac:dyDescent="0.25">
      <c r="B136" s="90"/>
      <c r="C136" s="100"/>
      <c r="D136" s="150"/>
      <c r="E136" s="90"/>
      <c r="F136" s="150"/>
      <c r="G136" s="209"/>
    </row>
    <row r="138" spans="2:8" x14ac:dyDescent="0.25">
      <c r="B138" s="2008" t="s">
        <v>763</v>
      </c>
      <c r="C138" s="2008"/>
      <c r="D138" s="2008"/>
      <c r="E138" s="2008"/>
      <c r="F138" s="2008"/>
      <c r="G138" s="2008"/>
    </row>
    <row r="139" spans="2:8" x14ac:dyDescent="0.25">
      <c r="B139" s="726" t="s">
        <v>729</v>
      </c>
      <c r="C139" s="726" t="s">
        <v>135</v>
      </c>
      <c r="D139" s="726" t="s">
        <v>761</v>
      </c>
      <c r="E139" s="726"/>
      <c r="F139" s="726" t="s">
        <v>735</v>
      </c>
      <c r="G139" s="726" t="s">
        <v>141</v>
      </c>
      <c r="H139" s="729" t="s">
        <v>736</v>
      </c>
    </row>
    <row r="140" spans="2:8" x14ac:dyDescent="0.25">
      <c r="B140" s="730"/>
      <c r="C140" s="726" t="s">
        <v>739</v>
      </c>
      <c r="D140" s="726" t="s">
        <v>762</v>
      </c>
      <c r="E140" s="726"/>
      <c r="F140" s="726"/>
      <c r="G140" s="726"/>
      <c r="H140" s="91"/>
    </row>
    <row r="141" spans="2:8" x14ac:dyDescent="0.25">
      <c r="B141" s="726">
        <v>1</v>
      </c>
      <c r="C141" s="726">
        <v>2</v>
      </c>
      <c r="D141" s="726">
        <v>3</v>
      </c>
      <c r="E141" s="726"/>
      <c r="F141" s="726">
        <v>8</v>
      </c>
      <c r="G141" s="726">
        <v>9</v>
      </c>
      <c r="H141" s="731">
        <v>10</v>
      </c>
    </row>
    <row r="142" spans="2:8" x14ac:dyDescent="0.25">
      <c r="B142" s="91">
        <v>1</v>
      </c>
      <c r="C142" s="730">
        <v>80</v>
      </c>
      <c r="D142" s="256">
        <v>14</v>
      </c>
      <c r="E142" s="91"/>
      <c r="F142" s="256">
        <f t="shared" ref="F142:F153" si="50">+$F$2</f>
        <v>73.7</v>
      </c>
      <c r="G142" s="208">
        <f>D142*F142</f>
        <v>1031.8</v>
      </c>
      <c r="H142" s="202">
        <f t="shared" ref="H142:H153" si="51">ROUND(3.43*(($D$6-$D$4)/(1000*100))*D142+0.67*(($D$7-$D$5)/(1000*100))*D142,2)+G142</f>
        <v>1031.8</v>
      </c>
    </row>
    <row r="143" spans="2:8" x14ac:dyDescent="0.25">
      <c r="B143" s="91">
        <v>2</v>
      </c>
      <c r="C143" s="261">
        <v>100</v>
      </c>
      <c r="D143" s="256">
        <v>18</v>
      </c>
      <c r="E143" s="91"/>
      <c r="F143" s="256">
        <f t="shared" si="50"/>
        <v>73.7</v>
      </c>
      <c r="G143" s="208">
        <f t="shared" ref="G143:G153" si="52">D143*F143</f>
        <v>1326.6000000000001</v>
      </c>
      <c r="H143" s="202">
        <f t="shared" si="51"/>
        <v>1326.6000000000001</v>
      </c>
    </row>
    <row r="144" spans="2:8" x14ac:dyDescent="0.25">
      <c r="B144" s="91">
        <v>3</v>
      </c>
      <c r="C144" s="730">
        <v>125</v>
      </c>
      <c r="D144" s="256">
        <v>25</v>
      </c>
      <c r="E144" s="91"/>
      <c r="F144" s="256">
        <f t="shared" si="50"/>
        <v>73.7</v>
      </c>
      <c r="G144" s="208">
        <f t="shared" si="52"/>
        <v>1842.5</v>
      </c>
      <c r="H144" s="202">
        <f t="shared" si="51"/>
        <v>1842.5</v>
      </c>
    </row>
    <row r="145" spans="2:8" x14ac:dyDescent="0.25">
      <c r="B145" s="91">
        <v>4</v>
      </c>
      <c r="C145" s="261">
        <v>150</v>
      </c>
      <c r="D145" s="256">
        <v>34</v>
      </c>
      <c r="E145" s="91"/>
      <c r="F145" s="256">
        <f t="shared" si="50"/>
        <v>73.7</v>
      </c>
      <c r="G145" s="208">
        <f t="shared" si="52"/>
        <v>2505.8000000000002</v>
      </c>
      <c r="H145" s="202">
        <f t="shared" si="51"/>
        <v>2505.8000000000002</v>
      </c>
    </row>
    <row r="146" spans="2:8" x14ac:dyDescent="0.25">
      <c r="B146" s="91">
        <v>5</v>
      </c>
      <c r="C146" s="730">
        <v>200</v>
      </c>
      <c r="D146" s="256">
        <v>54</v>
      </c>
      <c r="E146" s="91"/>
      <c r="F146" s="256">
        <f t="shared" si="50"/>
        <v>73.7</v>
      </c>
      <c r="G146" s="208">
        <f t="shared" si="52"/>
        <v>3979.8</v>
      </c>
      <c r="H146" s="202">
        <f t="shared" si="51"/>
        <v>3979.8</v>
      </c>
    </row>
    <row r="147" spans="2:8" x14ac:dyDescent="0.25">
      <c r="B147" s="91">
        <v>6</v>
      </c>
      <c r="C147" s="261">
        <v>250</v>
      </c>
      <c r="D147" s="256">
        <v>80</v>
      </c>
      <c r="E147" s="91"/>
      <c r="F147" s="256">
        <f t="shared" si="50"/>
        <v>73.7</v>
      </c>
      <c r="G147" s="208">
        <f t="shared" si="52"/>
        <v>5896</v>
      </c>
      <c r="H147" s="202">
        <f t="shared" si="51"/>
        <v>5896</v>
      </c>
    </row>
    <row r="148" spans="2:8" x14ac:dyDescent="0.25">
      <c r="B148" s="91">
        <v>7</v>
      </c>
      <c r="C148" s="730">
        <v>300</v>
      </c>
      <c r="D148" s="256">
        <v>112</v>
      </c>
      <c r="E148" s="91"/>
      <c r="F148" s="256">
        <f t="shared" si="50"/>
        <v>73.7</v>
      </c>
      <c r="G148" s="208">
        <f t="shared" si="52"/>
        <v>8254.4</v>
      </c>
      <c r="H148" s="202">
        <f t="shared" si="51"/>
        <v>8254.4</v>
      </c>
    </row>
    <row r="149" spans="2:8" x14ac:dyDescent="0.25">
      <c r="B149" s="91">
        <v>8</v>
      </c>
      <c r="C149" s="730">
        <v>350</v>
      </c>
      <c r="D149" s="256">
        <v>115</v>
      </c>
      <c r="E149" s="91"/>
      <c r="F149" s="256">
        <f t="shared" si="50"/>
        <v>73.7</v>
      </c>
      <c r="G149" s="208">
        <f t="shared" si="52"/>
        <v>8475.5</v>
      </c>
      <c r="H149" s="202">
        <f t="shared" si="51"/>
        <v>8475.5</v>
      </c>
    </row>
    <row r="150" spans="2:8" x14ac:dyDescent="0.25">
      <c r="B150" s="91">
        <v>9</v>
      </c>
      <c r="C150" s="730">
        <v>400</v>
      </c>
      <c r="D150" s="256">
        <v>149</v>
      </c>
      <c r="E150" s="91"/>
      <c r="F150" s="256">
        <f t="shared" si="50"/>
        <v>73.7</v>
      </c>
      <c r="G150" s="208">
        <f t="shared" si="52"/>
        <v>10981.300000000001</v>
      </c>
      <c r="H150" s="202">
        <f t="shared" si="51"/>
        <v>10981.300000000001</v>
      </c>
    </row>
    <row r="151" spans="2:8" x14ac:dyDescent="0.25">
      <c r="B151" s="91">
        <v>10</v>
      </c>
      <c r="C151" s="730">
        <v>450</v>
      </c>
      <c r="D151" s="256">
        <v>185</v>
      </c>
      <c r="E151" s="91"/>
      <c r="F151" s="256">
        <f t="shared" si="50"/>
        <v>73.7</v>
      </c>
      <c r="G151" s="208">
        <f t="shared" si="52"/>
        <v>13634.5</v>
      </c>
      <c r="H151" s="202">
        <f t="shared" si="51"/>
        <v>13634.5</v>
      </c>
    </row>
    <row r="152" spans="2:8" x14ac:dyDescent="0.25">
      <c r="B152" s="91">
        <v>11</v>
      </c>
      <c r="C152" s="730">
        <v>500</v>
      </c>
      <c r="D152" s="256">
        <v>231</v>
      </c>
      <c r="E152" s="91"/>
      <c r="F152" s="256">
        <f t="shared" si="50"/>
        <v>73.7</v>
      </c>
      <c r="G152" s="208">
        <f t="shared" si="52"/>
        <v>17024.7</v>
      </c>
      <c r="H152" s="202">
        <f t="shared" si="51"/>
        <v>17024.7</v>
      </c>
    </row>
    <row r="153" spans="2:8" x14ac:dyDescent="0.25">
      <c r="B153" s="91">
        <v>12</v>
      </c>
      <c r="C153" s="730">
        <v>600</v>
      </c>
      <c r="D153" s="256">
        <v>342</v>
      </c>
      <c r="E153" s="91"/>
      <c r="F153" s="256">
        <f t="shared" si="50"/>
        <v>73.7</v>
      </c>
      <c r="G153" s="208">
        <f t="shared" si="52"/>
        <v>25205.4</v>
      </c>
      <c r="H153" s="202">
        <f t="shared" si="51"/>
        <v>25205.4</v>
      </c>
    </row>
    <row r="156" spans="2:8" x14ac:dyDescent="0.25">
      <c r="B156" s="748" t="s">
        <v>764</v>
      </c>
    </row>
    <row r="157" spans="2:8" x14ac:dyDescent="0.25">
      <c r="B157" s="97"/>
    </row>
    <row r="158" spans="2:8" x14ac:dyDescent="0.25">
      <c r="B158" s="2008" t="s">
        <v>765</v>
      </c>
      <c r="C158" s="2008"/>
      <c r="D158" s="2008"/>
      <c r="E158" s="2008"/>
      <c r="F158" s="2008"/>
      <c r="G158" s="2008"/>
    </row>
    <row r="159" spans="2:8" x14ac:dyDescent="0.25">
      <c r="B159" s="726" t="s">
        <v>729</v>
      </c>
      <c r="C159" s="726" t="s">
        <v>135</v>
      </c>
      <c r="D159" s="726" t="s">
        <v>761</v>
      </c>
      <c r="E159" s="726"/>
      <c r="F159" s="726" t="s">
        <v>735</v>
      </c>
      <c r="G159" s="726" t="s">
        <v>141</v>
      </c>
      <c r="H159" s="729" t="s">
        <v>736</v>
      </c>
    </row>
    <row r="160" spans="2:8" x14ac:dyDescent="0.25">
      <c r="B160" s="730"/>
      <c r="C160" s="726" t="s">
        <v>739</v>
      </c>
      <c r="D160" s="726" t="s">
        <v>762</v>
      </c>
      <c r="E160" s="726"/>
      <c r="F160" s="726"/>
      <c r="G160" s="726"/>
      <c r="H160" s="91"/>
    </row>
    <row r="161" spans="2:8" x14ac:dyDescent="0.25">
      <c r="B161" s="726">
        <v>1</v>
      </c>
      <c r="C161" s="726">
        <v>2</v>
      </c>
      <c r="D161" s="726">
        <v>3</v>
      </c>
      <c r="E161" s="726"/>
      <c r="F161" s="726">
        <v>8</v>
      </c>
      <c r="G161" s="726">
        <v>9</v>
      </c>
      <c r="H161" s="731">
        <v>10</v>
      </c>
    </row>
    <row r="162" spans="2:8" x14ac:dyDescent="0.25">
      <c r="B162" s="91">
        <v>1</v>
      </c>
      <c r="C162" s="730">
        <v>80</v>
      </c>
      <c r="D162" s="256">
        <v>21</v>
      </c>
      <c r="E162" s="91"/>
      <c r="F162" s="256">
        <f t="shared" ref="F162:F173" si="53">+$F$2</f>
        <v>73.7</v>
      </c>
      <c r="G162" s="208">
        <f>D162*F162</f>
        <v>1547.7</v>
      </c>
      <c r="H162" s="202">
        <f t="shared" ref="H162:H173" si="54">ROUND(3.43*(($D$6-$D$4)/(1000*100))*D162+0.67*(($D$7-$D$5)/(1000*100))*D162,2)+G162</f>
        <v>1547.7</v>
      </c>
    </row>
    <row r="163" spans="2:8" x14ac:dyDescent="0.25">
      <c r="B163" s="91">
        <v>2</v>
      </c>
      <c r="C163" s="261">
        <v>100</v>
      </c>
      <c r="D163" s="256">
        <v>26</v>
      </c>
      <c r="E163" s="91"/>
      <c r="F163" s="256">
        <f t="shared" si="53"/>
        <v>73.7</v>
      </c>
      <c r="G163" s="208">
        <f t="shared" ref="G163:G173" si="55">D163*F163</f>
        <v>1916.2</v>
      </c>
      <c r="H163" s="202">
        <f t="shared" si="54"/>
        <v>1916.2</v>
      </c>
    </row>
    <row r="164" spans="2:8" x14ac:dyDescent="0.25">
      <c r="B164" s="91">
        <v>3</v>
      </c>
      <c r="C164" s="730">
        <v>125</v>
      </c>
      <c r="D164" s="256">
        <v>36</v>
      </c>
      <c r="E164" s="91"/>
      <c r="F164" s="256">
        <f t="shared" si="53"/>
        <v>73.7</v>
      </c>
      <c r="G164" s="208">
        <f t="shared" si="55"/>
        <v>2653.2000000000003</v>
      </c>
      <c r="H164" s="202">
        <f t="shared" si="54"/>
        <v>2653.2000000000003</v>
      </c>
    </row>
    <row r="165" spans="2:8" x14ac:dyDescent="0.25">
      <c r="B165" s="91">
        <v>4</v>
      </c>
      <c r="C165" s="261">
        <v>150</v>
      </c>
      <c r="D165" s="256">
        <v>47</v>
      </c>
      <c r="E165" s="91"/>
      <c r="F165" s="256">
        <f t="shared" si="53"/>
        <v>73.7</v>
      </c>
      <c r="G165" s="208">
        <f t="shared" si="55"/>
        <v>3463.9</v>
      </c>
      <c r="H165" s="202">
        <f t="shared" si="54"/>
        <v>3463.9</v>
      </c>
    </row>
    <row r="166" spans="2:8" x14ac:dyDescent="0.25">
      <c r="B166" s="91">
        <v>5</v>
      </c>
      <c r="C166" s="730">
        <v>200</v>
      </c>
      <c r="D166" s="256">
        <v>74</v>
      </c>
      <c r="E166" s="91"/>
      <c r="F166" s="256">
        <f t="shared" si="53"/>
        <v>73.7</v>
      </c>
      <c r="G166" s="208">
        <f t="shared" si="55"/>
        <v>5453.8</v>
      </c>
      <c r="H166" s="202">
        <f t="shared" si="54"/>
        <v>5453.8</v>
      </c>
    </row>
    <row r="167" spans="2:8" x14ac:dyDescent="0.25">
      <c r="B167" s="91">
        <v>6</v>
      </c>
      <c r="C167" s="261">
        <v>250</v>
      </c>
      <c r="D167" s="256">
        <v>111</v>
      </c>
      <c r="E167" s="91"/>
      <c r="F167" s="256">
        <f t="shared" si="53"/>
        <v>73.7</v>
      </c>
      <c r="G167" s="208">
        <f t="shared" si="55"/>
        <v>8180.7000000000007</v>
      </c>
      <c r="H167" s="202">
        <f t="shared" si="54"/>
        <v>8180.7000000000007</v>
      </c>
    </row>
    <row r="168" spans="2:8" x14ac:dyDescent="0.25">
      <c r="B168" s="91">
        <v>7</v>
      </c>
      <c r="C168" s="730">
        <v>300</v>
      </c>
      <c r="D168" s="256">
        <v>156</v>
      </c>
      <c r="E168" s="91"/>
      <c r="F168" s="256">
        <f t="shared" si="53"/>
        <v>73.7</v>
      </c>
      <c r="G168" s="208">
        <f t="shared" si="55"/>
        <v>11497.2</v>
      </c>
      <c r="H168" s="202">
        <f t="shared" si="54"/>
        <v>11497.2</v>
      </c>
    </row>
    <row r="169" spans="2:8" x14ac:dyDescent="0.25">
      <c r="B169" s="91">
        <v>8</v>
      </c>
      <c r="C169" s="730">
        <v>350</v>
      </c>
      <c r="D169" s="256">
        <v>214</v>
      </c>
      <c r="E169" s="91"/>
      <c r="F169" s="256">
        <f t="shared" si="53"/>
        <v>73.7</v>
      </c>
      <c r="G169" s="208">
        <f t="shared" si="55"/>
        <v>15771.800000000001</v>
      </c>
      <c r="H169" s="202">
        <f t="shared" si="54"/>
        <v>15771.800000000001</v>
      </c>
    </row>
    <row r="170" spans="2:8" x14ac:dyDescent="0.25">
      <c r="B170" s="91">
        <v>9</v>
      </c>
      <c r="C170" s="730">
        <v>400</v>
      </c>
      <c r="D170" s="256">
        <v>281</v>
      </c>
      <c r="E170" s="91"/>
      <c r="F170" s="256">
        <f t="shared" si="53"/>
        <v>73.7</v>
      </c>
      <c r="G170" s="208">
        <f t="shared" si="55"/>
        <v>20709.7</v>
      </c>
      <c r="H170" s="202">
        <f t="shared" si="54"/>
        <v>20709.7</v>
      </c>
    </row>
    <row r="171" spans="2:8" x14ac:dyDescent="0.25">
      <c r="B171" s="91">
        <v>10</v>
      </c>
      <c r="C171" s="730">
        <v>450</v>
      </c>
      <c r="D171" s="256">
        <v>350</v>
      </c>
      <c r="E171" s="91"/>
      <c r="F171" s="256">
        <f t="shared" si="53"/>
        <v>73.7</v>
      </c>
      <c r="G171" s="208">
        <f t="shared" si="55"/>
        <v>25795</v>
      </c>
      <c r="H171" s="202">
        <f t="shared" si="54"/>
        <v>25795</v>
      </c>
    </row>
    <row r="172" spans="2:8" x14ac:dyDescent="0.25">
      <c r="B172" s="91">
        <v>11</v>
      </c>
      <c r="C172" s="730">
        <v>500</v>
      </c>
      <c r="D172" s="256">
        <v>446</v>
      </c>
      <c r="E172" s="91"/>
      <c r="F172" s="256">
        <f t="shared" si="53"/>
        <v>73.7</v>
      </c>
      <c r="G172" s="208">
        <f t="shared" si="55"/>
        <v>32870.200000000004</v>
      </c>
      <c r="H172" s="202">
        <f t="shared" si="54"/>
        <v>32870.200000000004</v>
      </c>
    </row>
    <row r="173" spans="2:8" x14ac:dyDescent="0.25">
      <c r="B173" s="91">
        <v>12</v>
      </c>
      <c r="C173" s="730">
        <v>600</v>
      </c>
      <c r="D173" s="256">
        <v>667</v>
      </c>
      <c r="E173" s="91"/>
      <c r="F173" s="256">
        <f t="shared" si="53"/>
        <v>73.7</v>
      </c>
      <c r="G173" s="208">
        <f t="shared" si="55"/>
        <v>49157.9</v>
      </c>
      <c r="H173" s="202">
        <f t="shared" si="54"/>
        <v>49157.9</v>
      </c>
    </row>
    <row r="176" spans="2:8" x14ac:dyDescent="0.25">
      <c r="B176" s="748" t="s">
        <v>766</v>
      </c>
    </row>
    <row r="177" spans="2:8" x14ac:dyDescent="0.25">
      <c r="B177" s="97"/>
    </row>
    <row r="178" spans="2:8" x14ac:dyDescent="0.25">
      <c r="B178" s="2008" t="s">
        <v>171</v>
      </c>
      <c r="C178" s="2008"/>
      <c r="D178" s="2008"/>
      <c r="E178" s="2008"/>
      <c r="F178" s="2008"/>
      <c r="G178" s="2008"/>
    </row>
    <row r="179" spans="2:8" ht="26.25" x14ac:dyDescent="0.25">
      <c r="B179" s="726" t="s">
        <v>729</v>
      </c>
      <c r="C179" s="726" t="s">
        <v>135</v>
      </c>
      <c r="D179" s="726" t="s">
        <v>767</v>
      </c>
      <c r="E179" s="726"/>
      <c r="F179" s="726" t="s">
        <v>735</v>
      </c>
      <c r="G179" s="726" t="s">
        <v>141</v>
      </c>
      <c r="H179" s="729" t="s">
        <v>736</v>
      </c>
    </row>
    <row r="180" spans="2:8" x14ac:dyDescent="0.25">
      <c r="B180" s="730"/>
      <c r="C180" s="726" t="s">
        <v>739</v>
      </c>
      <c r="D180" s="726" t="s">
        <v>762</v>
      </c>
      <c r="E180" s="726"/>
      <c r="F180" s="726"/>
      <c r="G180" s="726"/>
      <c r="H180" s="91"/>
    </row>
    <row r="181" spans="2:8" x14ac:dyDescent="0.25">
      <c r="B181" s="726">
        <v>1</v>
      </c>
      <c r="C181" s="726">
        <v>2</v>
      </c>
      <c r="D181" s="726">
        <v>3</v>
      </c>
      <c r="E181" s="726"/>
      <c r="F181" s="726">
        <v>8</v>
      </c>
      <c r="G181" s="726">
        <v>9</v>
      </c>
      <c r="H181" s="731">
        <v>10</v>
      </c>
    </row>
    <row r="182" spans="2:8" x14ac:dyDescent="0.25">
      <c r="B182" s="91">
        <v>1</v>
      </c>
      <c r="C182" s="730">
        <v>80</v>
      </c>
      <c r="D182" s="256">
        <v>7</v>
      </c>
      <c r="E182" s="91"/>
      <c r="F182" s="256">
        <f t="shared" ref="F182:F193" si="56">+$F$2</f>
        <v>73.7</v>
      </c>
      <c r="G182" s="208">
        <f>D182*F182</f>
        <v>515.9</v>
      </c>
      <c r="H182" s="202">
        <f t="shared" ref="H182:H193" si="57">ROUND(3.43*(($D$6-$D$4)/(1000*100))*D182+0.67*(($D$7-$D$5)/(1000*100))*D182,2)+G182</f>
        <v>515.9</v>
      </c>
    </row>
    <row r="183" spans="2:8" x14ac:dyDescent="0.25">
      <c r="B183" s="91">
        <v>2</v>
      </c>
      <c r="C183" s="261">
        <v>100</v>
      </c>
      <c r="D183" s="256">
        <v>9</v>
      </c>
      <c r="E183" s="91"/>
      <c r="F183" s="256">
        <f t="shared" si="56"/>
        <v>73.7</v>
      </c>
      <c r="G183" s="208">
        <f t="shared" ref="G183:G193" si="58">D183*F183</f>
        <v>663.30000000000007</v>
      </c>
      <c r="H183" s="202">
        <f t="shared" si="57"/>
        <v>663.30000000000007</v>
      </c>
    </row>
    <row r="184" spans="2:8" x14ac:dyDescent="0.25">
      <c r="B184" s="91">
        <v>3</v>
      </c>
      <c r="C184" s="730">
        <v>125</v>
      </c>
      <c r="D184" s="256">
        <v>12</v>
      </c>
      <c r="E184" s="91"/>
      <c r="F184" s="256">
        <f t="shared" si="56"/>
        <v>73.7</v>
      </c>
      <c r="G184" s="208">
        <f t="shared" si="58"/>
        <v>884.40000000000009</v>
      </c>
      <c r="H184" s="202">
        <f t="shared" si="57"/>
        <v>884.40000000000009</v>
      </c>
    </row>
    <row r="185" spans="2:8" x14ac:dyDescent="0.25">
      <c r="B185" s="91">
        <v>4</v>
      </c>
      <c r="C185" s="261">
        <v>150</v>
      </c>
      <c r="D185" s="256">
        <v>15</v>
      </c>
      <c r="E185" s="91"/>
      <c r="F185" s="256">
        <f t="shared" si="56"/>
        <v>73.7</v>
      </c>
      <c r="G185" s="208">
        <f t="shared" si="58"/>
        <v>1105.5</v>
      </c>
      <c r="H185" s="202">
        <f t="shared" si="57"/>
        <v>1105.5</v>
      </c>
    </row>
    <row r="186" spans="2:8" x14ac:dyDescent="0.25">
      <c r="B186" s="91">
        <v>5</v>
      </c>
      <c r="C186" s="730">
        <v>200</v>
      </c>
      <c r="D186" s="256">
        <v>23</v>
      </c>
      <c r="E186" s="91"/>
      <c r="F186" s="256">
        <f t="shared" si="56"/>
        <v>73.7</v>
      </c>
      <c r="G186" s="208">
        <f t="shared" si="58"/>
        <v>1695.1000000000001</v>
      </c>
      <c r="H186" s="202">
        <f t="shared" si="57"/>
        <v>1695.1000000000001</v>
      </c>
    </row>
    <row r="187" spans="2:8" x14ac:dyDescent="0.25">
      <c r="B187" s="91">
        <v>6</v>
      </c>
      <c r="C187" s="261">
        <v>250</v>
      </c>
      <c r="D187" s="256">
        <v>31</v>
      </c>
      <c r="E187" s="91"/>
      <c r="F187" s="256">
        <f t="shared" si="56"/>
        <v>73.7</v>
      </c>
      <c r="G187" s="208">
        <f t="shared" si="58"/>
        <v>2284.7000000000003</v>
      </c>
      <c r="H187" s="202">
        <f t="shared" si="57"/>
        <v>2284.7000000000003</v>
      </c>
    </row>
    <row r="188" spans="2:8" x14ac:dyDescent="0.25">
      <c r="B188" s="91">
        <v>7</v>
      </c>
      <c r="C188" s="730">
        <v>300</v>
      </c>
      <c r="D188" s="256">
        <v>45</v>
      </c>
      <c r="E188" s="91"/>
      <c r="F188" s="256">
        <f t="shared" si="56"/>
        <v>73.7</v>
      </c>
      <c r="G188" s="208">
        <f t="shared" si="58"/>
        <v>3316.5</v>
      </c>
      <c r="H188" s="202">
        <f t="shared" si="57"/>
        <v>3316.5</v>
      </c>
    </row>
    <row r="189" spans="2:8" x14ac:dyDescent="0.25">
      <c r="B189" s="91">
        <v>8</v>
      </c>
      <c r="C189" s="730">
        <v>350</v>
      </c>
      <c r="D189" s="256">
        <v>58</v>
      </c>
      <c r="E189" s="91"/>
      <c r="F189" s="256">
        <f t="shared" si="56"/>
        <v>73.7</v>
      </c>
      <c r="G189" s="208">
        <f t="shared" si="58"/>
        <v>4274.6000000000004</v>
      </c>
      <c r="H189" s="202">
        <f t="shared" si="57"/>
        <v>4274.6000000000004</v>
      </c>
    </row>
    <row r="190" spans="2:8" x14ac:dyDescent="0.25">
      <c r="B190" s="91">
        <v>9</v>
      </c>
      <c r="C190" s="730">
        <v>400</v>
      </c>
      <c r="D190" s="256">
        <v>80</v>
      </c>
      <c r="E190" s="91"/>
      <c r="F190" s="256">
        <f t="shared" si="56"/>
        <v>73.7</v>
      </c>
      <c r="G190" s="208">
        <f t="shared" si="58"/>
        <v>5896</v>
      </c>
      <c r="H190" s="202">
        <f t="shared" si="57"/>
        <v>5896</v>
      </c>
    </row>
    <row r="191" spans="2:8" x14ac:dyDescent="0.25">
      <c r="B191" s="91">
        <v>10</v>
      </c>
      <c r="C191" s="730">
        <v>450</v>
      </c>
      <c r="D191" s="256">
        <v>93</v>
      </c>
      <c r="E191" s="91"/>
      <c r="F191" s="256">
        <f t="shared" si="56"/>
        <v>73.7</v>
      </c>
      <c r="G191" s="208">
        <f t="shared" si="58"/>
        <v>6854.1</v>
      </c>
      <c r="H191" s="202">
        <f t="shared" si="57"/>
        <v>6854.1</v>
      </c>
    </row>
    <row r="192" spans="2:8" x14ac:dyDescent="0.25">
      <c r="B192" s="91">
        <v>11</v>
      </c>
      <c r="C192" s="730">
        <v>500</v>
      </c>
      <c r="D192" s="256">
        <v>120</v>
      </c>
      <c r="E192" s="91"/>
      <c r="F192" s="256">
        <f t="shared" si="56"/>
        <v>73.7</v>
      </c>
      <c r="G192" s="208">
        <f t="shared" si="58"/>
        <v>8844</v>
      </c>
      <c r="H192" s="202">
        <f t="shared" si="57"/>
        <v>8844</v>
      </c>
    </row>
    <row r="193" spans="2:8" x14ac:dyDescent="0.25">
      <c r="B193" s="91">
        <v>12</v>
      </c>
      <c r="C193" s="730">
        <v>600</v>
      </c>
      <c r="D193" s="256">
        <v>201</v>
      </c>
      <c r="E193" s="91"/>
      <c r="F193" s="256">
        <f t="shared" si="56"/>
        <v>73.7</v>
      </c>
      <c r="G193" s="208">
        <f t="shared" si="58"/>
        <v>14813.7</v>
      </c>
      <c r="H193" s="202">
        <f t="shared" si="57"/>
        <v>14813.7</v>
      </c>
    </row>
    <row r="196" spans="2:8" x14ac:dyDescent="0.25">
      <c r="B196" s="2008" t="s">
        <v>768</v>
      </c>
      <c r="C196" s="2008"/>
      <c r="D196" s="2008"/>
      <c r="E196" s="2008"/>
      <c r="F196" s="2008"/>
      <c r="G196" s="2008"/>
    </row>
    <row r="197" spans="2:8" x14ac:dyDescent="0.25">
      <c r="B197" s="726" t="s">
        <v>729</v>
      </c>
      <c r="C197" s="726" t="s">
        <v>135</v>
      </c>
      <c r="D197" s="726" t="s">
        <v>761</v>
      </c>
      <c r="E197" s="726"/>
      <c r="F197" s="726" t="s">
        <v>735</v>
      </c>
      <c r="G197" s="726" t="s">
        <v>141</v>
      </c>
      <c r="H197" s="729" t="s">
        <v>736</v>
      </c>
    </row>
    <row r="198" spans="2:8" x14ac:dyDescent="0.25">
      <c r="B198" s="730"/>
      <c r="C198" s="726" t="s">
        <v>739</v>
      </c>
      <c r="D198" s="726" t="s">
        <v>762</v>
      </c>
      <c r="E198" s="726"/>
      <c r="F198" s="726"/>
      <c r="G198" s="726"/>
      <c r="H198" s="91"/>
    </row>
    <row r="199" spans="2:8" x14ac:dyDescent="0.25">
      <c r="B199" s="726">
        <v>1</v>
      </c>
      <c r="C199" s="726">
        <v>2</v>
      </c>
      <c r="D199" s="726">
        <v>3</v>
      </c>
      <c r="E199" s="726"/>
      <c r="F199" s="726">
        <v>8</v>
      </c>
      <c r="G199" s="726">
        <v>9</v>
      </c>
      <c r="H199" s="731">
        <v>10</v>
      </c>
    </row>
    <row r="200" spans="2:8" x14ac:dyDescent="0.25">
      <c r="B200" s="204">
        <v>1</v>
      </c>
      <c r="C200" s="731">
        <v>80</v>
      </c>
      <c r="D200" s="256">
        <v>25</v>
      </c>
      <c r="E200" s="91"/>
      <c r="F200" s="256">
        <f t="shared" ref="F200:F208" si="59">+$F$2</f>
        <v>73.7</v>
      </c>
      <c r="G200" s="208">
        <f>D200*F200</f>
        <v>1842.5</v>
      </c>
      <c r="H200" s="202">
        <f t="shared" ref="H200:H210" si="60">ROUND(3.43*(($D$6-$D$4)/(1000*100))*D200+0.67*(($D$7-$D$5)/(1000*100))*D200,2)+G200</f>
        <v>1842.5</v>
      </c>
    </row>
    <row r="201" spans="2:8" x14ac:dyDescent="0.25">
      <c r="B201" s="204">
        <v>2</v>
      </c>
      <c r="C201" s="749">
        <v>100</v>
      </c>
      <c r="D201" s="256">
        <v>35</v>
      </c>
      <c r="E201" s="91"/>
      <c r="F201" s="256">
        <f t="shared" si="59"/>
        <v>73.7</v>
      </c>
      <c r="G201" s="208">
        <f t="shared" ref="G201:G207" si="61">D201*F201</f>
        <v>2579.5</v>
      </c>
      <c r="H201" s="202">
        <f t="shared" si="60"/>
        <v>2579.5</v>
      </c>
    </row>
    <row r="202" spans="2:8" x14ac:dyDescent="0.25">
      <c r="B202" s="204">
        <v>3</v>
      </c>
      <c r="C202" s="731">
        <v>125</v>
      </c>
      <c r="D202" s="256">
        <v>45</v>
      </c>
      <c r="E202" s="91"/>
      <c r="F202" s="256">
        <f t="shared" si="59"/>
        <v>73.7</v>
      </c>
      <c r="G202" s="208">
        <f t="shared" si="61"/>
        <v>3316.5</v>
      </c>
      <c r="H202" s="202">
        <f t="shared" si="60"/>
        <v>3316.5</v>
      </c>
    </row>
    <row r="203" spans="2:8" x14ac:dyDescent="0.25">
      <c r="B203" s="204">
        <v>4</v>
      </c>
      <c r="C203" s="749">
        <v>150</v>
      </c>
      <c r="D203" s="256">
        <v>65</v>
      </c>
      <c r="E203" s="91"/>
      <c r="F203" s="256">
        <f t="shared" si="59"/>
        <v>73.7</v>
      </c>
      <c r="G203" s="208">
        <f t="shared" si="61"/>
        <v>4790.5</v>
      </c>
      <c r="H203" s="202">
        <f t="shared" si="60"/>
        <v>4790.5</v>
      </c>
    </row>
    <row r="204" spans="2:8" x14ac:dyDescent="0.25">
      <c r="B204" s="204">
        <v>5</v>
      </c>
      <c r="C204" s="731">
        <v>200</v>
      </c>
      <c r="D204" s="256">
        <v>100</v>
      </c>
      <c r="E204" s="91"/>
      <c r="F204" s="256">
        <f t="shared" si="59"/>
        <v>73.7</v>
      </c>
      <c r="G204" s="208">
        <f t="shared" si="61"/>
        <v>7370</v>
      </c>
      <c r="H204" s="202">
        <f t="shared" si="60"/>
        <v>7370</v>
      </c>
    </row>
    <row r="205" spans="2:8" x14ac:dyDescent="0.25">
      <c r="B205" s="204">
        <v>6</v>
      </c>
      <c r="C205" s="749">
        <v>250</v>
      </c>
      <c r="D205" s="256">
        <v>160</v>
      </c>
      <c r="E205" s="91"/>
      <c r="F205" s="256">
        <f t="shared" si="59"/>
        <v>73.7</v>
      </c>
      <c r="G205" s="208">
        <f t="shared" si="61"/>
        <v>11792</v>
      </c>
      <c r="H205" s="202">
        <f t="shared" si="60"/>
        <v>11792</v>
      </c>
    </row>
    <row r="206" spans="2:8" x14ac:dyDescent="0.25">
      <c r="B206" s="204">
        <v>7</v>
      </c>
      <c r="C206" s="731">
        <v>300</v>
      </c>
      <c r="D206" s="256">
        <v>210</v>
      </c>
      <c r="E206" s="91"/>
      <c r="F206" s="256">
        <f t="shared" si="59"/>
        <v>73.7</v>
      </c>
      <c r="G206" s="208">
        <f t="shared" si="61"/>
        <v>15477</v>
      </c>
      <c r="H206" s="202">
        <f t="shared" si="60"/>
        <v>15477</v>
      </c>
    </row>
    <row r="207" spans="2:8" x14ac:dyDescent="0.25">
      <c r="B207" s="265">
        <v>8</v>
      </c>
      <c r="C207" s="750">
        <v>350</v>
      </c>
      <c r="D207" s="751">
        <v>340</v>
      </c>
      <c r="E207" s="91"/>
      <c r="F207" s="256">
        <f t="shared" si="59"/>
        <v>73.7</v>
      </c>
      <c r="G207" s="752">
        <f t="shared" si="61"/>
        <v>25058</v>
      </c>
      <c r="H207" s="202">
        <f t="shared" si="60"/>
        <v>25058</v>
      </c>
    </row>
    <row r="208" spans="2:8" x14ac:dyDescent="0.25">
      <c r="B208" s="204">
        <v>9</v>
      </c>
      <c r="C208" s="204">
        <v>400</v>
      </c>
      <c r="D208" s="256">
        <v>275</v>
      </c>
      <c r="E208" s="91"/>
      <c r="F208" s="256">
        <f t="shared" si="59"/>
        <v>73.7</v>
      </c>
      <c r="G208" s="752">
        <f>D208*F208</f>
        <v>20267.5</v>
      </c>
      <c r="H208" s="202">
        <f t="shared" si="60"/>
        <v>20267.5</v>
      </c>
    </row>
    <row r="209" spans="2:8" x14ac:dyDescent="0.25">
      <c r="B209" s="204">
        <v>10</v>
      </c>
      <c r="C209" s="204">
        <v>500</v>
      </c>
      <c r="D209" s="91"/>
      <c r="E209" s="91"/>
      <c r="F209" s="91"/>
      <c r="G209" s="91"/>
      <c r="H209" s="202">
        <f t="shared" si="60"/>
        <v>0</v>
      </c>
    </row>
    <row r="210" spans="2:8" x14ac:dyDescent="0.25">
      <c r="B210" s="204">
        <v>10</v>
      </c>
      <c r="C210" s="204">
        <v>600</v>
      </c>
      <c r="D210" s="91"/>
      <c r="E210" s="91"/>
      <c r="F210" s="91"/>
      <c r="G210" s="91"/>
      <c r="H210" s="202">
        <f t="shared" si="60"/>
        <v>0</v>
      </c>
    </row>
    <row r="211" spans="2:8" x14ac:dyDescent="0.25">
      <c r="H211" s="210"/>
    </row>
  </sheetData>
  <sheetProtection password="DD45" sheet="1" objects="1" scenarios="1"/>
  <mergeCells count="16">
    <mergeCell ref="B4:C4"/>
    <mergeCell ref="B5:C5"/>
    <mergeCell ref="A11:I11"/>
    <mergeCell ref="K11:M11"/>
    <mergeCell ref="A29:I29"/>
    <mergeCell ref="K29:M29"/>
    <mergeCell ref="K47:M47"/>
    <mergeCell ref="A65:I65"/>
    <mergeCell ref="A83:I83"/>
    <mergeCell ref="B101:K101"/>
    <mergeCell ref="B120:G120"/>
    <mergeCell ref="B138:G138"/>
    <mergeCell ref="B158:G158"/>
    <mergeCell ref="B178:G178"/>
    <mergeCell ref="B196:G196"/>
    <mergeCell ref="A47:I4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2"/>
  <sheetViews>
    <sheetView topLeftCell="A76" workbookViewId="0">
      <selection activeCell="I91" sqref="I91"/>
    </sheetView>
  </sheetViews>
  <sheetFormatPr defaultRowHeight="15" x14ac:dyDescent="0.25"/>
  <cols>
    <col min="9" max="9" width="11.5703125" customWidth="1"/>
  </cols>
  <sheetData>
    <row r="1" spans="2:10" x14ac:dyDescent="0.25">
      <c r="F1" s="141"/>
      <c r="G1" s="141"/>
    </row>
    <row r="2" spans="2:10" x14ac:dyDescent="0.25">
      <c r="F2" s="753" t="s">
        <v>769</v>
      </c>
      <c r="G2" s="754"/>
    </row>
    <row r="3" spans="2:10" x14ac:dyDescent="0.25">
      <c r="B3" s="120"/>
      <c r="F3" s="731" t="s">
        <v>228</v>
      </c>
      <c r="G3" s="755" t="s">
        <v>770</v>
      </c>
    </row>
    <row r="4" spans="2:10" x14ac:dyDescent="0.25">
      <c r="B4" s="756"/>
      <c r="F4" s="242" t="s">
        <v>771</v>
      </c>
      <c r="G4" s="757">
        <v>10000</v>
      </c>
    </row>
    <row r="5" spans="2:10" x14ac:dyDescent="0.25">
      <c r="F5" s="242" t="s">
        <v>190</v>
      </c>
      <c r="G5" s="757">
        <v>6</v>
      </c>
      <c r="H5" s="758"/>
    </row>
    <row r="6" spans="2:10" x14ac:dyDescent="0.25">
      <c r="F6" s="759" t="s">
        <v>772</v>
      </c>
      <c r="G6" s="760">
        <f>'Valve chambers'!I66</f>
        <v>13464</v>
      </c>
      <c r="I6">
        <f>+G6*3</f>
        <v>40392</v>
      </c>
    </row>
    <row r="7" spans="2:10" x14ac:dyDescent="0.25">
      <c r="F7" s="242" t="s">
        <v>773</v>
      </c>
      <c r="G7" s="760">
        <f>'Valve chambers'!I120</f>
        <v>15601</v>
      </c>
    </row>
    <row r="8" spans="2:10" x14ac:dyDescent="0.25">
      <c r="F8" s="761" t="s">
        <v>774</v>
      </c>
      <c r="G8" s="760">
        <f>'Valve chambers'!I233</f>
        <v>23033</v>
      </c>
      <c r="I8" s="90"/>
      <c r="J8" s="90"/>
    </row>
    <row r="9" spans="2:10" x14ac:dyDescent="0.25">
      <c r="F9" s="761" t="s">
        <v>775</v>
      </c>
      <c r="G9" s="762" t="s">
        <v>668</v>
      </c>
      <c r="I9" s="2153"/>
      <c r="J9" s="2153"/>
    </row>
    <row r="10" spans="2:10" x14ac:dyDescent="0.25">
      <c r="F10" s="763" t="s">
        <v>776</v>
      </c>
      <c r="G10" s="762"/>
      <c r="I10" s="2154"/>
      <c r="J10" s="2154"/>
    </row>
    <row r="11" spans="2:10" x14ac:dyDescent="0.25">
      <c r="F11" s="764" t="s">
        <v>777</v>
      </c>
      <c r="G11" s="765">
        <f>+LOOKUP(G4,SSR!B63:B73,RAM!I53:I63)</f>
        <v>65.56</v>
      </c>
      <c r="I11" s="766"/>
      <c r="J11" s="766"/>
    </row>
    <row r="12" spans="2:10" x14ac:dyDescent="0.25">
      <c r="F12" s="206" t="s">
        <v>778</v>
      </c>
      <c r="G12" s="767">
        <f>Lead!K15</f>
        <v>6400</v>
      </c>
      <c r="I12" s="768"/>
      <c r="J12" s="766"/>
    </row>
    <row r="13" spans="2:10" x14ac:dyDescent="0.25">
      <c r="F13" s="206" t="s">
        <v>779</v>
      </c>
      <c r="G13" s="767">
        <f>Lead!K16</f>
        <v>42000</v>
      </c>
      <c r="I13" s="766"/>
      <c r="J13" s="766"/>
    </row>
    <row r="14" spans="2:10" x14ac:dyDescent="0.25">
      <c r="F14" s="203" t="s">
        <v>780</v>
      </c>
      <c r="G14" s="767">
        <f>SSR!C74</f>
        <v>6400</v>
      </c>
    </row>
    <row r="15" spans="2:10" x14ac:dyDescent="0.25">
      <c r="F15" s="206" t="s">
        <v>781</v>
      </c>
      <c r="G15" s="767">
        <f>SSR!C75</f>
        <v>42000</v>
      </c>
    </row>
    <row r="18" spans="1:10" x14ac:dyDescent="0.25">
      <c r="A18" s="769"/>
      <c r="B18" s="131"/>
      <c r="C18" s="770">
        <f>+G4</f>
        <v>10000</v>
      </c>
      <c r="D18" s="272" t="s">
        <v>782</v>
      </c>
      <c r="E18" s="132"/>
      <c r="H18" s="132"/>
      <c r="I18" s="132"/>
    </row>
    <row r="19" spans="1:10" x14ac:dyDescent="0.25">
      <c r="B19" s="97"/>
      <c r="C19" s="93" t="str">
        <f>Design!$B$1</f>
        <v>CPWS SCHEME TO                                                                                                       DISTRICT</v>
      </c>
    </row>
    <row r="20" spans="1:10" x14ac:dyDescent="0.25">
      <c r="B20" s="97"/>
    </row>
    <row r="22" spans="1:10" x14ac:dyDescent="0.25">
      <c r="D22" s="112"/>
    </row>
    <row r="23" spans="1:10" x14ac:dyDescent="0.25">
      <c r="C23" s="112" t="s">
        <v>783</v>
      </c>
      <c r="D23" s="771">
        <f>+D25+2.5</f>
        <v>8.5</v>
      </c>
      <c r="F23" s="113" t="s">
        <v>565</v>
      </c>
      <c r="G23" s="391">
        <v>0.15</v>
      </c>
    </row>
    <row r="24" spans="1:10" x14ac:dyDescent="0.25">
      <c r="C24" s="112"/>
      <c r="D24" s="123"/>
      <c r="F24" s="113"/>
      <c r="G24" s="391"/>
    </row>
    <row r="25" spans="1:10" x14ac:dyDescent="0.25">
      <c r="C25" s="112" t="s">
        <v>784</v>
      </c>
      <c r="D25" s="772">
        <f>+D32+G5</f>
        <v>6</v>
      </c>
      <c r="F25" s="113" t="s">
        <v>785</v>
      </c>
      <c r="G25" s="391">
        <v>0.15</v>
      </c>
    </row>
    <row r="26" spans="1:10" x14ac:dyDescent="0.25">
      <c r="D26" s="123"/>
    </row>
    <row r="27" spans="1:10" x14ac:dyDescent="0.25">
      <c r="D27" s="123"/>
      <c r="H27" s="90"/>
      <c r="I27" s="773"/>
      <c r="J27" s="243"/>
    </row>
    <row r="28" spans="1:10" x14ac:dyDescent="0.25">
      <c r="D28" s="123"/>
    </row>
    <row r="29" spans="1:10" x14ac:dyDescent="0.25">
      <c r="D29" s="123"/>
    </row>
    <row r="30" spans="1:10" x14ac:dyDescent="0.25">
      <c r="D30" s="123"/>
    </row>
    <row r="31" spans="1:10" x14ac:dyDescent="0.25">
      <c r="C31" s="112"/>
    </row>
    <row r="32" spans="1:10" x14ac:dyDescent="0.25">
      <c r="C32" s="774" t="s">
        <v>566</v>
      </c>
      <c r="D32" s="771">
        <v>0</v>
      </c>
    </row>
    <row r="37" spans="1:7" x14ac:dyDescent="0.25">
      <c r="A37" s="90"/>
    </row>
    <row r="38" spans="1:7" x14ac:dyDescent="0.25">
      <c r="A38" s="90"/>
      <c r="C38" s="775" t="s">
        <v>786</v>
      </c>
      <c r="D38" s="775" t="s">
        <v>787</v>
      </c>
      <c r="E38" s="775" t="s">
        <v>788</v>
      </c>
      <c r="F38" s="775" t="s">
        <v>789</v>
      </c>
    </row>
    <row r="39" spans="1:7" x14ac:dyDescent="0.25">
      <c r="A39" s="90"/>
      <c r="B39" s="775"/>
      <c r="C39" s="756"/>
      <c r="D39" s="756"/>
      <c r="E39" s="120"/>
      <c r="F39" s="756"/>
    </row>
    <row r="40" spans="1:7" x14ac:dyDescent="0.25">
      <c r="B40" s="776" t="s">
        <v>790</v>
      </c>
      <c r="C40" s="777">
        <f>+IF(G3="yes",LOOKUP(RAM!C63,RAM!B67:B90,RAM!C67:C90),J11)</f>
        <v>80</v>
      </c>
      <c r="D40" s="777">
        <v>80</v>
      </c>
      <c r="E40" s="777">
        <v>80</v>
      </c>
      <c r="F40" s="731">
        <f>+IF(G3="yes",C40,J13)</f>
        <v>80</v>
      </c>
    </row>
    <row r="41" spans="1:7" x14ac:dyDescent="0.25">
      <c r="B41" s="778" t="s">
        <v>791</v>
      </c>
      <c r="C41" s="779">
        <v>1</v>
      </c>
      <c r="D41" s="779">
        <v>1</v>
      </c>
      <c r="E41" s="779">
        <v>1</v>
      </c>
      <c r="F41" s="204">
        <v>0</v>
      </c>
      <c r="G41" s="378"/>
    </row>
    <row r="45" spans="1:7" x14ac:dyDescent="0.25">
      <c r="B45" s="141"/>
      <c r="C45" s="141"/>
      <c r="D45" s="141"/>
      <c r="E45" s="141"/>
      <c r="F45" s="141"/>
      <c r="G45" s="780" t="s">
        <v>23</v>
      </c>
    </row>
    <row r="46" spans="1:7" x14ac:dyDescent="0.25">
      <c r="B46" s="781" t="s">
        <v>792</v>
      </c>
      <c r="C46" s="92"/>
      <c r="D46" s="92"/>
      <c r="E46" s="92"/>
      <c r="F46" s="92"/>
      <c r="G46" s="782"/>
    </row>
    <row r="47" spans="1:7" x14ac:dyDescent="0.25">
      <c r="B47" s="203" t="s">
        <v>793</v>
      </c>
      <c r="C47" s="92">
        <f>+(LOOKUP(C40,RAM!$E$67:$E$78,RAM!$K$67:$K$78))*C41</f>
        <v>11025</v>
      </c>
      <c r="D47" s="92">
        <f>+(LOOKUP(D40,RAM!$E$67:$E$78,RAM!$K$67:$K$78))*D41</f>
        <v>11025</v>
      </c>
      <c r="E47" s="92">
        <f>+(LOOKUP(E40,RAM!$E$67:$E$78,RAM!$K$67:$K$78))*E41</f>
        <v>11025</v>
      </c>
      <c r="F47" s="92">
        <f>+(LOOKUP(F40,RAM!$E$67:$E$78,RAM!$K$67:$K$78))*F41</f>
        <v>0</v>
      </c>
      <c r="G47" s="782">
        <f>+ROUND((F47+E47+D47+C47),0)</f>
        <v>33075</v>
      </c>
    </row>
    <row r="54" spans="2:9" x14ac:dyDescent="0.25">
      <c r="B54" s="783" t="s">
        <v>794</v>
      </c>
      <c r="C54" s="784">
        <v>200</v>
      </c>
      <c r="D54" s="785" t="s">
        <v>795</v>
      </c>
      <c r="F54" s="230" t="s">
        <v>796</v>
      </c>
      <c r="G54" s="224">
        <f>+ROUND(C54*1000/3600,2)</f>
        <v>55.56</v>
      </c>
      <c r="H54" s="230" t="s">
        <v>797</v>
      </c>
      <c r="I54" s="786">
        <f>ROUND((G54^2)*0.6*0.1,2)</f>
        <v>185.21</v>
      </c>
    </row>
    <row r="55" spans="2:9" x14ac:dyDescent="0.25">
      <c r="B55" s="787" t="s">
        <v>798</v>
      </c>
      <c r="C55" s="194">
        <f>+G4</f>
        <v>10000</v>
      </c>
      <c r="D55" s="788" t="s">
        <v>799</v>
      </c>
      <c r="E55" s="787"/>
      <c r="F55" s="789">
        <f>+G5</f>
        <v>6</v>
      </c>
      <c r="G55" s="787" t="s">
        <v>800</v>
      </c>
      <c r="H55" s="787"/>
    </row>
    <row r="56" spans="2:9" x14ac:dyDescent="0.25">
      <c r="B56" s="2155" t="str">
        <f>Design!B1</f>
        <v>CPWS SCHEME TO                                                                                                       DISTRICT</v>
      </c>
      <c r="C56" s="2155"/>
      <c r="D56" s="2155"/>
      <c r="E56" s="2155"/>
      <c r="F56" s="2155"/>
      <c r="G56" s="2155"/>
      <c r="H56" s="787"/>
    </row>
    <row r="57" spans="2:9" x14ac:dyDescent="0.25">
      <c r="B57" s="790"/>
      <c r="C57" s="790"/>
      <c r="D57" s="790"/>
      <c r="E57" s="790"/>
      <c r="F57" s="790"/>
      <c r="G57" s="790"/>
      <c r="H57" s="107" t="s">
        <v>136</v>
      </c>
      <c r="I57" s="791">
        <f>+I96</f>
        <v>770000</v>
      </c>
    </row>
    <row r="58" spans="2:9" x14ac:dyDescent="0.25">
      <c r="B58" s="2092" t="str">
        <f>+CONCATENATE("Construction of ",G4," Lts Capacity  OHSR with ",G5," m staging with raft foundation")</f>
        <v>Construction of 10000 Lts Capacity  OHSR with 6 m staging with raft foundation</v>
      </c>
      <c r="C58" s="2092"/>
      <c r="D58" s="2092"/>
      <c r="E58" s="2092"/>
      <c r="F58" s="2092"/>
      <c r="G58" s="2092"/>
      <c r="H58" s="2092"/>
    </row>
    <row r="59" spans="2:9" x14ac:dyDescent="0.25">
      <c r="B59" s="2092" t="s">
        <v>801</v>
      </c>
      <c r="C59" s="2092"/>
      <c r="D59" s="2092"/>
      <c r="E59" s="2092"/>
      <c r="F59" s="2092"/>
      <c r="G59" s="2092"/>
      <c r="H59" s="2092"/>
    </row>
    <row r="60" spans="2:9" x14ac:dyDescent="0.25">
      <c r="B60" s="2152" t="s">
        <v>802</v>
      </c>
      <c r="C60" s="2152"/>
      <c r="D60" s="2152"/>
      <c r="E60" s="2152"/>
      <c r="F60" s="2152"/>
      <c r="G60" s="2152"/>
      <c r="H60" s="2152"/>
    </row>
    <row r="61" spans="2:9" x14ac:dyDescent="0.25">
      <c r="B61" s="2152" t="s">
        <v>803</v>
      </c>
      <c r="C61" s="2152"/>
      <c r="D61" s="2152"/>
      <c r="E61" s="2152"/>
      <c r="F61" s="2152"/>
      <c r="G61" s="2152"/>
      <c r="H61" s="2152"/>
    </row>
    <row r="62" spans="2:9" x14ac:dyDescent="0.25">
      <c r="B62" s="2152" t="s">
        <v>804</v>
      </c>
      <c r="C62" s="2152"/>
      <c r="D62" s="2152"/>
      <c r="E62" s="2152"/>
      <c r="F62" s="2152"/>
      <c r="G62" s="2152"/>
      <c r="H62" s="2152"/>
    </row>
    <row r="63" spans="2:9" x14ac:dyDescent="0.25">
      <c r="B63" s="2152" t="s">
        <v>805</v>
      </c>
      <c r="C63" s="2152"/>
      <c r="D63" s="2152"/>
      <c r="E63" s="2152"/>
      <c r="F63" s="2152"/>
      <c r="G63" s="2152"/>
      <c r="H63" s="2152"/>
    </row>
    <row r="64" spans="2:9" x14ac:dyDescent="0.25">
      <c r="B64" s="2152" t="s">
        <v>806</v>
      </c>
      <c r="C64" s="2152"/>
      <c r="D64" s="2152"/>
      <c r="E64" s="2152"/>
      <c r="F64" s="2152"/>
      <c r="G64" s="2152"/>
      <c r="H64" s="2152"/>
    </row>
    <row r="65" spans="2:9" x14ac:dyDescent="0.25">
      <c r="B65" s="2152" t="s">
        <v>807</v>
      </c>
      <c r="C65" s="2152"/>
      <c r="D65" s="2152"/>
      <c r="E65" s="2152"/>
      <c r="F65" s="2152"/>
      <c r="G65" s="2152"/>
      <c r="H65" s="2152"/>
    </row>
    <row r="66" spans="2:9" x14ac:dyDescent="0.25">
      <c r="B66" s="2152" t="s">
        <v>808</v>
      </c>
      <c r="C66" s="2152"/>
      <c r="D66" s="2152"/>
      <c r="E66" s="2152"/>
      <c r="F66" s="2152"/>
      <c r="G66" s="2152"/>
      <c r="H66" s="2152"/>
    </row>
    <row r="67" spans="2:9" x14ac:dyDescent="0.25">
      <c r="B67" s="2151" t="s">
        <v>809</v>
      </c>
      <c r="C67" s="2151"/>
      <c r="D67" s="2151"/>
      <c r="E67" s="2151"/>
      <c r="F67" s="2151"/>
      <c r="G67" s="2151"/>
      <c r="H67" s="2151"/>
    </row>
    <row r="69" spans="2:9" x14ac:dyDescent="0.25">
      <c r="B69" s="129" t="s">
        <v>810</v>
      </c>
      <c r="C69" s="129">
        <f>+G4</f>
        <v>10000</v>
      </c>
      <c r="D69" s="130" t="s">
        <v>811</v>
      </c>
      <c r="E69" s="792">
        <f>+G11</f>
        <v>65.56</v>
      </c>
      <c r="F69" s="129"/>
      <c r="G69" s="129"/>
      <c r="H69" s="515" t="s">
        <v>812</v>
      </c>
      <c r="I69" s="129">
        <f>+C69*E69</f>
        <v>655600</v>
      </c>
    </row>
    <row r="70" spans="2:9" x14ac:dyDescent="0.25">
      <c r="B70" s="793" t="str">
        <f>+IF(Data!$I$4=0%,"(With 10% Rural area allowence)","(With out Rural area allowence Due to MA)")</f>
        <v>(With out Rural area allowence Due to MA)</v>
      </c>
      <c r="C70" s="129"/>
      <c r="D70" s="130"/>
      <c r="E70" s="686"/>
      <c r="F70" s="129"/>
      <c r="G70" s="129"/>
      <c r="H70" s="515"/>
      <c r="I70" s="794">
        <f>IF(Data!I4=0%,(0.1*I69),(0))</f>
        <v>0</v>
      </c>
    </row>
    <row r="71" spans="2:9" x14ac:dyDescent="0.25">
      <c r="B71" s="795" t="s">
        <v>813</v>
      </c>
      <c r="C71" s="129"/>
      <c r="D71" s="129"/>
      <c r="E71" s="129"/>
      <c r="F71" s="129"/>
      <c r="G71" s="129"/>
      <c r="H71" s="515"/>
      <c r="I71" s="129"/>
    </row>
    <row r="72" spans="2:9" x14ac:dyDescent="0.25">
      <c r="B72" s="130"/>
      <c r="C72" s="129"/>
      <c r="D72" s="129"/>
      <c r="E72" s="129"/>
      <c r="F72" s="129"/>
      <c r="G72" s="129"/>
      <c r="H72" s="515"/>
      <c r="I72" s="129"/>
    </row>
    <row r="73" spans="2:9" x14ac:dyDescent="0.25">
      <c r="B73" s="129" t="s">
        <v>814</v>
      </c>
      <c r="C73" s="129"/>
      <c r="D73" s="129"/>
      <c r="E73" s="129"/>
      <c r="F73" s="129"/>
      <c r="G73" s="129"/>
      <c r="H73" s="515"/>
      <c r="I73" s="129"/>
    </row>
    <row r="74" spans="2:9" x14ac:dyDescent="0.25">
      <c r="B74" s="129"/>
      <c r="C74" s="529">
        <f>+G12</f>
        <v>6400</v>
      </c>
      <c r="D74" s="529">
        <f>+G14</f>
        <v>6400</v>
      </c>
      <c r="E74" s="529">
        <v>0.7</v>
      </c>
      <c r="F74" s="129">
        <f>+I69</f>
        <v>655600</v>
      </c>
      <c r="G74" s="129"/>
      <c r="H74" s="515" t="s">
        <v>812</v>
      </c>
      <c r="I74" s="129">
        <f>+ROUND(((C74-D74)*0.7*I69)/(100*100),0)</f>
        <v>0</v>
      </c>
    </row>
    <row r="75" spans="2:9" x14ac:dyDescent="0.25">
      <c r="B75" s="129"/>
      <c r="C75" s="130" t="s">
        <v>815</v>
      </c>
      <c r="D75" s="129"/>
      <c r="E75" s="129"/>
      <c r="F75" s="129"/>
      <c r="G75" s="129"/>
      <c r="H75" s="515"/>
      <c r="I75" s="129"/>
    </row>
    <row r="76" spans="2:9" x14ac:dyDescent="0.25">
      <c r="B76" s="129"/>
      <c r="C76" s="129"/>
      <c r="D76" s="129"/>
      <c r="E76" s="129"/>
      <c r="F76" s="129"/>
      <c r="G76" s="129"/>
      <c r="H76" s="515"/>
      <c r="I76" s="129"/>
    </row>
    <row r="77" spans="2:9" x14ac:dyDescent="0.25">
      <c r="B77" s="130" t="s">
        <v>816</v>
      </c>
      <c r="C77" s="129"/>
      <c r="D77" s="129"/>
      <c r="E77" s="129"/>
      <c r="F77" s="129"/>
      <c r="G77" s="129"/>
      <c r="H77" s="515"/>
      <c r="I77" s="129"/>
    </row>
    <row r="78" spans="2:9" x14ac:dyDescent="0.25">
      <c r="B78" s="129"/>
      <c r="C78" s="529">
        <f>+G13</f>
        <v>42000</v>
      </c>
      <c r="D78" s="529">
        <f>+G15</f>
        <v>42000</v>
      </c>
      <c r="E78" s="796">
        <v>2</v>
      </c>
      <c r="F78" s="129">
        <f>+F74</f>
        <v>655600</v>
      </c>
      <c r="G78" s="129"/>
      <c r="H78" s="515" t="s">
        <v>812</v>
      </c>
      <c r="I78" s="129">
        <f>+ROUND(((G13-G15)*2*I69)/(1000*100),0)</f>
        <v>0</v>
      </c>
    </row>
    <row r="79" spans="2:9" x14ac:dyDescent="0.25">
      <c r="B79" s="129"/>
      <c r="C79" s="130" t="s">
        <v>817</v>
      </c>
      <c r="D79" s="129"/>
      <c r="E79" s="129"/>
      <c r="F79" s="129"/>
      <c r="G79" s="129"/>
      <c r="H79" s="515"/>
      <c r="I79" s="129"/>
    </row>
    <row r="80" spans="2:9" x14ac:dyDescent="0.25">
      <c r="B80" s="129"/>
      <c r="C80" s="129"/>
      <c r="D80" s="129"/>
      <c r="E80" s="129"/>
      <c r="F80" s="129"/>
      <c r="G80" s="129"/>
      <c r="H80" s="515"/>
      <c r="I80" s="129"/>
    </row>
    <row r="81" spans="2:24" x14ac:dyDescent="0.25">
      <c r="B81" s="130" t="str">
        <f>RAM!O53</f>
        <v>E) Deduct for staging below 10 Mts by .05 Paise per Lt</v>
      </c>
      <c r="C81" s="129"/>
      <c r="D81" s="129"/>
      <c r="E81" s="129"/>
      <c r="F81" s="129"/>
      <c r="G81" s="129"/>
      <c r="H81" s="515" t="s">
        <v>812</v>
      </c>
      <c r="I81" s="378">
        <f>RAM!T53</f>
        <v>-2000</v>
      </c>
    </row>
    <row r="82" spans="2:24" x14ac:dyDescent="0.25">
      <c r="B82" s="130"/>
      <c r="C82" s="129"/>
      <c r="D82" s="129"/>
      <c r="E82" s="129"/>
      <c r="F82" s="129"/>
      <c r="G82" s="129"/>
      <c r="H82" s="515"/>
      <c r="I82" s="129"/>
    </row>
    <row r="83" spans="2:24" x14ac:dyDescent="0.25">
      <c r="B83" s="130"/>
      <c r="C83" s="129"/>
      <c r="D83" s="129"/>
      <c r="E83" s="129"/>
      <c r="F83" s="129"/>
      <c r="G83" s="129"/>
      <c r="H83" s="515"/>
      <c r="I83" s="129"/>
    </row>
    <row r="84" spans="2:24" x14ac:dyDescent="0.25">
      <c r="B84" s="669" t="s">
        <v>818</v>
      </c>
      <c r="C84" s="129"/>
      <c r="D84" s="129"/>
      <c r="E84" s="129"/>
      <c r="F84" s="129"/>
      <c r="G84" s="129"/>
      <c r="H84" s="515"/>
      <c r="I84" s="233"/>
    </row>
    <row r="85" spans="2:24" x14ac:dyDescent="0.25">
      <c r="B85" s="130"/>
      <c r="C85" s="531">
        <f>+I54</f>
        <v>185.21</v>
      </c>
      <c r="D85" s="531">
        <v>350</v>
      </c>
      <c r="E85" s="529">
        <v>5</v>
      </c>
      <c r="F85" s="129">
        <f>+I69</f>
        <v>655600</v>
      </c>
      <c r="G85" s="129"/>
      <c r="H85" s="515" t="s">
        <v>812</v>
      </c>
      <c r="I85" s="129">
        <f>+ROUND(((-350+I54)*5*I69)/(100*100),0)</f>
        <v>-54018</v>
      </c>
    </row>
    <row r="86" spans="2:24" x14ac:dyDescent="0.25">
      <c r="B86" s="129"/>
      <c r="C86" s="130" t="s">
        <v>815</v>
      </c>
      <c r="D86" s="129"/>
      <c r="E86" s="129"/>
      <c r="F86" s="129"/>
      <c r="G86" s="129"/>
      <c r="H86" s="515"/>
      <c r="I86" s="129"/>
    </row>
    <row r="87" spans="2:24" x14ac:dyDescent="0.25">
      <c r="B87" s="130" t="s">
        <v>2077</v>
      </c>
      <c r="C87" s="129"/>
      <c r="D87" s="129"/>
      <c r="E87" s="129"/>
      <c r="F87" s="129"/>
      <c r="G87" s="129"/>
      <c r="H87" s="515" t="s">
        <v>812</v>
      </c>
      <c r="I87" s="233">
        <f>+L87*30</f>
        <v>5040</v>
      </c>
      <c r="K87" s="297" t="s">
        <v>819</v>
      </c>
      <c r="L87" s="297">
        <v>168</v>
      </c>
    </row>
    <row r="88" spans="2:24" x14ac:dyDescent="0.25">
      <c r="B88" s="129"/>
      <c r="C88" s="129"/>
      <c r="D88" s="129"/>
      <c r="E88" s="129"/>
      <c r="F88" s="129"/>
      <c r="G88" s="129"/>
      <c r="H88" s="515"/>
      <c r="I88" s="129"/>
    </row>
    <row r="89" spans="2:24" x14ac:dyDescent="0.25">
      <c r="B89" s="130" t="s">
        <v>2078</v>
      </c>
      <c r="C89" s="129"/>
      <c r="D89" s="129"/>
      <c r="E89" s="129"/>
      <c r="F89" s="526" t="s">
        <v>820</v>
      </c>
      <c r="G89" s="129"/>
      <c r="H89" s="515" t="s">
        <v>812</v>
      </c>
      <c r="I89" s="233">
        <f>+G47</f>
        <v>33075</v>
      </c>
    </row>
    <row r="90" spans="2:24" x14ac:dyDescent="0.25">
      <c r="B90" s="129"/>
      <c r="C90" s="129"/>
      <c r="D90" s="129"/>
      <c r="E90" s="129"/>
      <c r="F90" s="515"/>
      <c r="G90" s="129"/>
      <c r="H90" s="515"/>
      <c r="I90" s="129"/>
    </row>
    <row r="91" spans="2:24" x14ac:dyDescent="0.25">
      <c r="B91" s="129" t="s">
        <v>821</v>
      </c>
      <c r="C91" s="129"/>
      <c r="D91" s="129"/>
      <c r="E91" s="129"/>
      <c r="F91" s="526" t="s">
        <v>820</v>
      </c>
      <c r="G91" s="129"/>
      <c r="H91" s="515" t="s">
        <v>812</v>
      </c>
      <c r="I91" s="233">
        <f>+(IF(C40&lt;X97,W97,IF(C40&lt;X98,W98,W99))+IF(D40&lt;X97,W97,IF(D40&lt;X98,W98,W99))+W97)</f>
        <v>40392</v>
      </c>
    </row>
    <row r="92" spans="2:24" x14ac:dyDescent="0.25">
      <c r="B92" s="129"/>
      <c r="C92" s="129"/>
      <c r="D92" s="129"/>
      <c r="E92" s="129"/>
      <c r="F92" s="130"/>
      <c r="G92" s="129"/>
      <c r="H92" s="515" t="s">
        <v>23</v>
      </c>
      <c r="I92" s="797">
        <f>ROUND(SUM(I69:I91),0)</f>
        <v>678089</v>
      </c>
      <c r="O92">
        <f>SUM(I69:I89)</f>
        <v>637697</v>
      </c>
    </row>
    <row r="93" spans="2:24" x14ac:dyDescent="0.25">
      <c r="B93" s="798" t="s">
        <v>822</v>
      </c>
      <c r="C93" s="129"/>
      <c r="D93" s="129"/>
      <c r="E93" s="129"/>
      <c r="F93" s="1947">
        <v>0.13614999999999999</v>
      </c>
      <c r="G93" s="129"/>
      <c r="H93" s="515"/>
      <c r="I93" s="233">
        <f>+ROUND(O92*F93,0)</f>
        <v>86822</v>
      </c>
    </row>
    <row r="94" spans="2:24" x14ac:dyDescent="0.25">
      <c r="B94" s="130" t="s">
        <v>823</v>
      </c>
      <c r="C94" s="129"/>
      <c r="D94" s="129"/>
      <c r="E94" s="129"/>
      <c r="F94" s="129"/>
      <c r="G94" s="129"/>
      <c r="H94" s="451" t="s">
        <v>812</v>
      </c>
      <c r="I94" s="151">
        <f>+I96-SUM(I92:I93)</f>
        <v>5089</v>
      </c>
    </row>
    <row r="95" spans="2:24" x14ac:dyDescent="0.25">
      <c r="B95" s="130"/>
      <c r="C95" s="129"/>
      <c r="D95" s="129"/>
      <c r="E95" s="129"/>
      <c r="F95" s="129"/>
      <c r="G95" s="129"/>
      <c r="H95" s="451"/>
      <c r="I95" s="557"/>
    </row>
    <row r="96" spans="2:24" x14ac:dyDescent="0.25">
      <c r="B96" s="129"/>
      <c r="C96" s="129"/>
      <c r="D96" s="129"/>
      <c r="E96" s="129"/>
      <c r="F96" s="139" t="s">
        <v>824</v>
      </c>
      <c r="G96" s="129"/>
      <c r="H96" s="515"/>
      <c r="I96" s="716">
        <f>((INT(SUM(I92:I93)*0.0001))*10000)+10000</f>
        <v>770000</v>
      </c>
      <c r="J96" s="378"/>
      <c r="L96" s="378">
        <f>I96-I94</f>
        <v>764911</v>
      </c>
      <c r="V96" s="779" t="s">
        <v>135</v>
      </c>
      <c r="W96" s="799" t="s">
        <v>825</v>
      </c>
      <c r="X96" s="800"/>
    </row>
    <row r="97" spans="2:24" x14ac:dyDescent="0.25">
      <c r="B97" s="129"/>
      <c r="C97" s="129"/>
      <c r="D97" s="129"/>
      <c r="E97" s="129"/>
      <c r="F97" s="129"/>
      <c r="G97" s="129"/>
      <c r="H97" s="129"/>
      <c r="I97" s="129"/>
      <c r="V97" s="801">
        <v>0.9</v>
      </c>
      <c r="W97" s="802">
        <f>+G6*IF($G$9="Yes",0.8,1)</f>
        <v>13464</v>
      </c>
      <c r="X97" s="803">
        <v>150</v>
      </c>
    </row>
    <row r="98" spans="2:24" x14ac:dyDescent="0.25">
      <c r="B98" s="129"/>
      <c r="C98" s="129"/>
      <c r="D98" s="804" t="s">
        <v>826</v>
      </c>
      <c r="E98" s="805">
        <f>+(I96-I94)/C55</f>
        <v>76.491100000000003</v>
      </c>
      <c r="F98" s="129"/>
      <c r="G98" s="129"/>
      <c r="H98" s="129"/>
      <c r="I98" s="129"/>
      <c r="V98" s="806">
        <v>1.05</v>
      </c>
      <c r="W98" s="802">
        <f>+G7*IF($G$9="Yes",0.8,1)</f>
        <v>15601</v>
      </c>
      <c r="X98" s="807">
        <v>300</v>
      </c>
    </row>
    <row r="99" spans="2:24" x14ac:dyDescent="0.25">
      <c r="V99" s="808">
        <v>1.2</v>
      </c>
      <c r="W99" s="809">
        <f>+G8*IF($G$9="Yes",0.8,1)</f>
        <v>23033</v>
      </c>
      <c r="X99" s="810">
        <v>450</v>
      </c>
    </row>
    <row r="100" spans="2:24" x14ac:dyDescent="0.25">
      <c r="V100" s="217"/>
      <c r="W100" s="217"/>
      <c r="X100" s="217"/>
    </row>
    <row r="102" spans="2:24" x14ac:dyDescent="0.25">
      <c r="J102" s="378"/>
    </row>
  </sheetData>
  <mergeCells count="13">
    <mergeCell ref="B60:H60"/>
    <mergeCell ref="I9:J9"/>
    <mergeCell ref="I10:J10"/>
    <mergeCell ref="B56:G56"/>
    <mergeCell ref="B58:H58"/>
    <mergeCell ref="B59:H59"/>
    <mergeCell ref="B67:H67"/>
    <mergeCell ref="B61:H61"/>
    <mergeCell ref="B62:H62"/>
    <mergeCell ref="B63:H63"/>
    <mergeCell ref="B64:H64"/>
    <mergeCell ref="B65:H65"/>
    <mergeCell ref="B66:H66"/>
  </mergeCells>
  <dataValidations count="2">
    <dataValidation allowBlank="1" showInputMessage="1" showErrorMessage="1" promptTitle="Wind Velocity" prompt="For Costal area Min velocity is 200 KMPH" sqref="C54 IY54 SU54 ACQ54 AMM54 AWI54 BGE54 BQA54 BZW54 CJS54 CTO54 DDK54 DNG54 DXC54 EGY54 EQU54 FAQ54 FKM54 FUI54 GEE54 GOA54 GXW54 HHS54 HRO54 IBK54 ILG54 IVC54 JEY54 JOU54 JYQ54 KIM54 KSI54 LCE54 LMA54 LVW54 MFS54 MPO54 MZK54 NJG54 NTC54 OCY54 OMU54 OWQ54 PGM54 PQI54 QAE54 QKA54 QTW54 RDS54 RNO54 RXK54 SHG54 SRC54 TAY54 TKU54 TUQ54 UEM54 UOI54 UYE54 VIA54 VRW54 WBS54 WLO54 WVK54 C65590 IY65590 SU65590 ACQ65590 AMM65590 AWI65590 BGE65590 BQA65590 BZW65590 CJS65590 CTO65590 DDK65590 DNG65590 DXC65590 EGY65590 EQU65590 FAQ65590 FKM65590 FUI65590 GEE65590 GOA65590 GXW65590 HHS65590 HRO65590 IBK65590 ILG65590 IVC65590 JEY65590 JOU65590 JYQ65590 KIM65590 KSI65590 LCE65590 LMA65590 LVW65590 MFS65590 MPO65590 MZK65590 NJG65590 NTC65590 OCY65590 OMU65590 OWQ65590 PGM65590 PQI65590 QAE65590 QKA65590 QTW65590 RDS65590 RNO65590 RXK65590 SHG65590 SRC65590 TAY65590 TKU65590 TUQ65590 UEM65590 UOI65590 UYE65590 VIA65590 VRW65590 WBS65590 WLO65590 WVK65590 C131126 IY131126 SU131126 ACQ131126 AMM131126 AWI131126 BGE131126 BQA131126 BZW131126 CJS131126 CTO131126 DDK131126 DNG131126 DXC131126 EGY131126 EQU131126 FAQ131126 FKM131126 FUI131126 GEE131126 GOA131126 GXW131126 HHS131126 HRO131126 IBK131126 ILG131126 IVC131126 JEY131126 JOU131126 JYQ131126 KIM131126 KSI131126 LCE131126 LMA131126 LVW131126 MFS131126 MPO131126 MZK131126 NJG131126 NTC131126 OCY131126 OMU131126 OWQ131126 PGM131126 PQI131126 QAE131126 QKA131126 QTW131126 RDS131126 RNO131126 RXK131126 SHG131126 SRC131126 TAY131126 TKU131126 TUQ131126 UEM131126 UOI131126 UYE131126 VIA131126 VRW131126 WBS131126 WLO131126 WVK131126 C196662 IY196662 SU196662 ACQ196662 AMM196662 AWI196662 BGE196662 BQA196662 BZW196662 CJS196662 CTO196662 DDK196662 DNG196662 DXC196662 EGY196662 EQU196662 FAQ196662 FKM196662 FUI196662 GEE196662 GOA196662 GXW196662 HHS196662 HRO196662 IBK196662 ILG196662 IVC196662 JEY196662 JOU196662 JYQ196662 KIM196662 KSI196662 LCE196662 LMA196662 LVW196662 MFS196662 MPO196662 MZK196662 NJG196662 NTC196662 OCY196662 OMU196662 OWQ196662 PGM196662 PQI196662 QAE196662 QKA196662 QTW196662 RDS196662 RNO196662 RXK196662 SHG196662 SRC196662 TAY196662 TKU196662 TUQ196662 UEM196662 UOI196662 UYE196662 VIA196662 VRW196662 WBS196662 WLO196662 WVK196662 C262198 IY262198 SU262198 ACQ262198 AMM262198 AWI262198 BGE262198 BQA262198 BZW262198 CJS262198 CTO262198 DDK262198 DNG262198 DXC262198 EGY262198 EQU262198 FAQ262198 FKM262198 FUI262198 GEE262198 GOA262198 GXW262198 HHS262198 HRO262198 IBK262198 ILG262198 IVC262198 JEY262198 JOU262198 JYQ262198 KIM262198 KSI262198 LCE262198 LMA262198 LVW262198 MFS262198 MPO262198 MZK262198 NJG262198 NTC262198 OCY262198 OMU262198 OWQ262198 PGM262198 PQI262198 QAE262198 QKA262198 QTW262198 RDS262198 RNO262198 RXK262198 SHG262198 SRC262198 TAY262198 TKU262198 TUQ262198 UEM262198 UOI262198 UYE262198 VIA262198 VRW262198 WBS262198 WLO262198 WVK262198 C327734 IY327734 SU327734 ACQ327734 AMM327734 AWI327734 BGE327734 BQA327734 BZW327734 CJS327734 CTO327734 DDK327734 DNG327734 DXC327734 EGY327734 EQU327734 FAQ327734 FKM327734 FUI327734 GEE327734 GOA327734 GXW327734 HHS327734 HRO327734 IBK327734 ILG327734 IVC327734 JEY327734 JOU327734 JYQ327734 KIM327734 KSI327734 LCE327734 LMA327734 LVW327734 MFS327734 MPO327734 MZK327734 NJG327734 NTC327734 OCY327734 OMU327734 OWQ327734 PGM327734 PQI327734 QAE327734 QKA327734 QTW327734 RDS327734 RNO327734 RXK327734 SHG327734 SRC327734 TAY327734 TKU327734 TUQ327734 UEM327734 UOI327734 UYE327734 VIA327734 VRW327734 WBS327734 WLO327734 WVK327734 C393270 IY393270 SU393270 ACQ393270 AMM393270 AWI393270 BGE393270 BQA393270 BZW393270 CJS393270 CTO393270 DDK393270 DNG393270 DXC393270 EGY393270 EQU393270 FAQ393270 FKM393270 FUI393270 GEE393270 GOA393270 GXW393270 HHS393270 HRO393270 IBK393270 ILG393270 IVC393270 JEY393270 JOU393270 JYQ393270 KIM393270 KSI393270 LCE393270 LMA393270 LVW393270 MFS393270 MPO393270 MZK393270 NJG393270 NTC393270 OCY393270 OMU393270 OWQ393270 PGM393270 PQI393270 QAE393270 QKA393270 QTW393270 RDS393270 RNO393270 RXK393270 SHG393270 SRC393270 TAY393270 TKU393270 TUQ393270 UEM393270 UOI393270 UYE393270 VIA393270 VRW393270 WBS393270 WLO393270 WVK393270 C458806 IY458806 SU458806 ACQ458806 AMM458806 AWI458806 BGE458806 BQA458806 BZW458806 CJS458806 CTO458806 DDK458806 DNG458806 DXC458806 EGY458806 EQU458806 FAQ458806 FKM458806 FUI458806 GEE458806 GOA458806 GXW458806 HHS458806 HRO458806 IBK458806 ILG458806 IVC458806 JEY458806 JOU458806 JYQ458806 KIM458806 KSI458806 LCE458806 LMA458806 LVW458806 MFS458806 MPO458806 MZK458806 NJG458806 NTC458806 OCY458806 OMU458806 OWQ458806 PGM458806 PQI458806 QAE458806 QKA458806 QTW458806 RDS458806 RNO458806 RXK458806 SHG458806 SRC458806 TAY458806 TKU458806 TUQ458806 UEM458806 UOI458806 UYE458806 VIA458806 VRW458806 WBS458806 WLO458806 WVK458806 C524342 IY524342 SU524342 ACQ524342 AMM524342 AWI524342 BGE524342 BQA524342 BZW524342 CJS524342 CTO524342 DDK524342 DNG524342 DXC524342 EGY524342 EQU524342 FAQ524342 FKM524342 FUI524342 GEE524342 GOA524342 GXW524342 HHS524342 HRO524342 IBK524342 ILG524342 IVC524342 JEY524342 JOU524342 JYQ524342 KIM524342 KSI524342 LCE524342 LMA524342 LVW524342 MFS524342 MPO524342 MZK524342 NJG524342 NTC524342 OCY524342 OMU524342 OWQ524342 PGM524342 PQI524342 QAE524342 QKA524342 QTW524342 RDS524342 RNO524342 RXK524342 SHG524342 SRC524342 TAY524342 TKU524342 TUQ524342 UEM524342 UOI524342 UYE524342 VIA524342 VRW524342 WBS524342 WLO524342 WVK524342 C589878 IY589878 SU589878 ACQ589878 AMM589878 AWI589878 BGE589878 BQA589878 BZW589878 CJS589878 CTO589878 DDK589878 DNG589878 DXC589878 EGY589878 EQU589878 FAQ589878 FKM589878 FUI589878 GEE589878 GOA589878 GXW589878 HHS589878 HRO589878 IBK589878 ILG589878 IVC589878 JEY589878 JOU589878 JYQ589878 KIM589878 KSI589878 LCE589878 LMA589878 LVW589878 MFS589878 MPO589878 MZK589878 NJG589878 NTC589878 OCY589878 OMU589878 OWQ589878 PGM589878 PQI589878 QAE589878 QKA589878 QTW589878 RDS589878 RNO589878 RXK589878 SHG589878 SRC589878 TAY589878 TKU589878 TUQ589878 UEM589878 UOI589878 UYE589878 VIA589878 VRW589878 WBS589878 WLO589878 WVK589878 C655414 IY655414 SU655414 ACQ655414 AMM655414 AWI655414 BGE655414 BQA655414 BZW655414 CJS655414 CTO655414 DDK655414 DNG655414 DXC655414 EGY655414 EQU655414 FAQ655414 FKM655414 FUI655414 GEE655414 GOA655414 GXW655414 HHS655414 HRO655414 IBK655414 ILG655414 IVC655414 JEY655414 JOU655414 JYQ655414 KIM655414 KSI655414 LCE655414 LMA655414 LVW655414 MFS655414 MPO655414 MZK655414 NJG655414 NTC655414 OCY655414 OMU655414 OWQ655414 PGM655414 PQI655414 QAE655414 QKA655414 QTW655414 RDS655414 RNO655414 RXK655414 SHG655414 SRC655414 TAY655414 TKU655414 TUQ655414 UEM655414 UOI655414 UYE655414 VIA655414 VRW655414 WBS655414 WLO655414 WVK655414 C720950 IY720950 SU720950 ACQ720950 AMM720950 AWI720950 BGE720950 BQA720950 BZW720950 CJS720950 CTO720950 DDK720950 DNG720950 DXC720950 EGY720950 EQU720950 FAQ720950 FKM720950 FUI720950 GEE720950 GOA720950 GXW720950 HHS720950 HRO720950 IBK720950 ILG720950 IVC720950 JEY720950 JOU720950 JYQ720950 KIM720950 KSI720950 LCE720950 LMA720950 LVW720950 MFS720950 MPO720950 MZK720950 NJG720950 NTC720950 OCY720950 OMU720950 OWQ720950 PGM720950 PQI720950 QAE720950 QKA720950 QTW720950 RDS720950 RNO720950 RXK720950 SHG720950 SRC720950 TAY720950 TKU720950 TUQ720950 UEM720950 UOI720950 UYE720950 VIA720950 VRW720950 WBS720950 WLO720950 WVK720950 C786486 IY786486 SU786486 ACQ786486 AMM786486 AWI786486 BGE786486 BQA786486 BZW786486 CJS786486 CTO786486 DDK786486 DNG786486 DXC786486 EGY786486 EQU786486 FAQ786486 FKM786486 FUI786486 GEE786486 GOA786486 GXW786486 HHS786486 HRO786486 IBK786486 ILG786486 IVC786486 JEY786486 JOU786486 JYQ786486 KIM786486 KSI786486 LCE786486 LMA786486 LVW786486 MFS786486 MPO786486 MZK786486 NJG786486 NTC786486 OCY786486 OMU786486 OWQ786486 PGM786486 PQI786486 QAE786486 QKA786486 QTW786486 RDS786486 RNO786486 RXK786486 SHG786486 SRC786486 TAY786486 TKU786486 TUQ786486 UEM786486 UOI786486 UYE786486 VIA786486 VRW786486 WBS786486 WLO786486 WVK786486 C852022 IY852022 SU852022 ACQ852022 AMM852022 AWI852022 BGE852022 BQA852022 BZW852022 CJS852022 CTO852022 DDK852022 DNG852022 DXC852022 EGY852022 EQU852022 FAQ852022 FKM852022 FUI852022 GEE852022 GOA852022 GXW852022 HHS852022 HRO852022 IBK852022 ILG852022 IVC852022 JEY852022 JOU852022 JYQ852022 KIM852022 KSI852022 LCE852022 LMA852022 LVW852022 MFS852022 MPO852022 MZK852022 NJG852022 NTC852022 OCY852022 OMU852022 OWQ852022 PGM852022 PQI852022 QAE852022 QKA852022 QTW852022 RDS852022 RNO852022 RXK852022 SHG852022 SRC852022 TAY852022 TKU852022 TUQ852022 UEM852022 UOI852022 UYE852022 VIA852022 VRW852022 WBS852022 WLO852022 WVK852022 C917558 IY917558 SU917558 ACQ917558 AMM917558 AWI917558 BGE917558 BQA917558 BZW917558 CJS917558 CTO917558 DDK917558 DNG917558 DXC917558 EGY917558 EQU917558 FAQ917558 FKM917558 FUI917558 GEE917558 GOA917558 GXW917558 HHS917558 HRO917558 IBK917558 ILG917558 IVC917558 JEY917558 JOU917558 JYQ917558 KIM917558 KSI917558 LCE917558 LMA917558 LVW917558 MFS917558 MPO917558 MZK917558 NJG917558 NTC917558 OCY917558 OMU917558 OWQ917558 PGM917558 PQI917558 QAE917558 QKA917558 QTW917558 RDS917558 RNO917558 RXK917558 SHG917558 SRC917558 TAY917558 TKU917558 TUQ917558 UEM917558 UOI917558 UYE917558 VIA917558 VRW917558 WBS917558 WLO917558 WVK917558 C983094 IY983094 SU983094 ACQ983094 AMM983094 AWI983094 BGE983094 BQA983094 BZW983094 CJS983094 CTO983094 DDK983094 DNG983094 DXC983094 EGY983094 EQU983094 FAQ983094 FKM983094 FUI983094 GEE983094 GOA983094 GXW983094 HHS983094 HRO983094 IBK983094 ILG983094 IVC983094 JEY983094 JOU983094 JYQ983094 KIM983094 KSI983094 LCE983094 LMA983094 LVW983094 MFS983094 MPO983094 MZK983094 NJG983094 NTC983094 OCY983094 OMU983094 OWQ983094 PGM983094 PQI983094 QAE983094 QKA983094 QTW983094 RDS983094 RNO983094 RXK983094 SHG983094 SRC983094 TAY983094 TKU983094 TUQ983094 UEM983094 UOI983094 UYE983094 VIA983094 VRW983094 WBS983094 WLO983094 WVK983094"/>
    <dataValidation errorStyle="information" allowBlank="1" showInputMessage="1" showErrorMessage="1" errorTitle="Wind Velocity" error="Enter Wind Velocity in &quot;C62&quot; cell" promptTitle="Wind Velocity" prompt="Enter Wind Velocity in &quot;C62&quot; cell" sqref="G4:G5 JC4:JC5 SY4:SY5 ACU4:ACU5 AMQ4:AMQ5 AWM4:AWM5 BGI4:BGI5 BQE4:BQE5 CAA4:CAA5 CJW4:CJW5 CTS4:CTS5 DDO4:DDO5 DNK4:DNK5 DXG4:DXG5 EHC4:EHC5 EQY4:EQY5 FAU4:FAU5 FKQ4:FKQ5 FUM4:FUM5 GEI4:GEI5 GOE4:GOE5 GYA4:GYA5 HHW4:HHW5 HRS4:HRS5 IBO4:IBO5 ILK4:ILK5 IVG4:IVG5 JFC4:JFC5 JOY4:JOY5 JYU4:JYU5 KIQ4:KIQ5 KSM4:KSM5 LCI4:LCI5 LME4:LME5 LWA4:LWA5 MFW4:MFW5 MPS4:MPS5 MZO4:MZO5 NJK4:NJK5 NTG4:NTG5 ODC4:ODC5 OMY4:OMY5 OWU4:OWU5 PGQ4:PGQ5 PQM4:PQM5 QAI4:QAI5 QKE4:QKE5 QUA4:QUA5 RDW4:RDW5 RNS4:RNS5 RXO4:RXO5 SHK4:SHK5 SRG4:SRG5 TBC4:TBC5 TKY4:TKY5 TUU4:TUU5 UEQ4:UEQ5 UOM4:UOM5 UYI4:UYI5 VIE4:VIE5 VSA4:VSA5 WBW4:WBW5 WLS4:WLS5 WVO4:WVO5 G65540:G65541 JC65540:JC65541 SY65540:SY65541 ACU65540:ACU65541 AMQ65540:AMQ65541 AWM65540:AWM65541 BGI65540:BGI65541 BQE65540:BQE65541 CAA65540:CAA65541 CJW65540:CJW65541 CTS65540:CTS65541 DDO65540:DDO65541 DNK65540:DNK65541 DXG65540:DXG65541 EHC65540:EHC65541 EQY65540:EQY65541 FAU65540:FAU65541 FKQ65540:FKQ65541 FUM65540:FUM65541 GEI65540:GEI65541 GOE65540:GOE65541 GYA65540:GYA65541 HHW65540:HHW65541 HRS65540:HRS65541 IBO65540:IBO65541 ILK65540:ILK65541 IVG65540:IVG65541 JFC65540:JFC65541 JOY65540:JOY65541 JYU65540:JYU65541 KIQ65540:KIQ65541 KSM65540:KSM65541 LCI65540:LCI65541 LME65540:LME65541 LWA65540:LWA65541 MFW65540:MFW65541 MPS65540:MPS65541 MZO65540:MZO65541 NJK65540:NJK65541 NTG65540:NTG65541 ODC65540:ODC65541 OMY65540:OMY65541 OWU65540:OWU65541 PGQ65540:PGQ65541 PQM65540:PQM65541 QAI65540:QAI65541 QKE65540:QKE65541 QUA65540:QUA65541 RDW65540:RDW65541 RNS65540:RNS65541 RXO65540:RXO65541 SHK65540:SHK65541 SRG65540:SRG65541 TBC65540:TBC65541 TKY65540:TKY65541 TUU65540:TUU65541 UEQ65540:UEQ65541 UOM65540:UOM65541 UYI65540:UYI65541 VIE65540:VIE65541 VSA65540:VSA65541 WBW65540:WBW65541 WLS65540:WLS65541 WVO65540:WVO65541 G131076:G131077 JC131076:JC131077 SY131076:SY131077 ACU131076:ACU131077 AMQ131076:AMQ131077 AWM131076:AWM131077 BGI131076:BGI131077 BQE131076:BQE131077 CAA131076:CAA131077 CJW131076:CJW131077 CTS131076:CTS131077 DDO131076:DDO131077 DNK131076:DNK131077 DXG131076:DXG131077 EHC131076:EHC131077 EQY131076:EQY131077 FAU131076:FAU131077 FKQ131076:FKQ131077 FUM131076:FUM131077 GEI131076:GEI131077 GOE131076:GOE131077 GYA131076:GYA131077 HHW131076:HHW131077 HRS131076:HRS131077 IBO131076:IBO131077 ILK131076:ILK131077 IVG131076:IVG131077 JFC131076:JFC131077 JOY131076:JOY131077 JYU131076:JYU131077 KIQ131076:KIQ131077 KSM131076:KSM131077 LCI131076:LCI131077 LME131076:LME131077 LWA131076:LWA131077 MFW131076:MFW131077 MPS131076:MPS131077 MZO131076:MZO131077 NJK131076:NJK131077 NTG131076:NTG131077 ODC131076:ODC131077 OMY131076:OMY131077 OWU131076:OWU131077 PGQ131076:PGQ131077 PQM131076:PQM131077 QAI131076:QAI131077 QKE131076:QKE131077 QUA131076:QUA131077 RDW131076:RDW131077 RNS131076:RNS131077 RXO131076:RXO131077 SHK131076:SHK131077 SRG131076:SRG131077 TBC131076:TBC131077 TKY131076:TKY131077 TUU131076:TUU131077 UEQ131076:UEQ131077 UOM131076:UOM131077 UYI131076:UYI131077 VIE131076:VIE131077 VSA131076:VSA131077 WBW131076:WBW131077 WLS131076:WLS131077 WVO131076:WVO131077 G196612:G196613 JC196612:JC196613 SY196612:SY196613 ACU196612:ACU196613 AMQ196612:AMQ196613 AWM196612:AWM196613 BGI196612:BGI196613 BQE196612:BQE196613 CAA196612:CAA196613 CJW196612:CJW196613 CTS196612:CTS196613 DDO196612:DDO196613 DNK196612:DNK196613 DXG196612:DXG196613 EHC196612:EHC196613 EQY196612:EQY196613 FAU196612:FAU196613 FKQ196612:FKQ196613 FUM196612:FUM196613 GEI196612:GEI196613 GOE196612:GOE196613 GYA196612:GYA196613 HHW196612:HHW196613 HRS196612:HRS196613 IBO196612:IBO196613 ILK196612:ILK196613 IVG196612:IVG196613 JFC196612:JFC196613 JOY196612:JOY196613 JYU196612:JYU196613 KIQ196612:KIQ196613 KSM196612:KSM196613 LCI196612:LCI196613 LME196612:LME196613 LWA196612:LWA196613 MFW196612:MFW196613 MPS196612:MPS196613 MZO196612:MZO196613 NJK196612:NJK196613 NTG196612:NTG196613 ODC196612:ODC196613 OMY196612:OMY196613 OWU196612:OWU196613 PGQ196612:PGQ196613 PQM196612:PQM196613 QAI196612:QAI196613 QKE196612:QKE196613 QUA196612:QUA196613 RDW196612:RDW196613 RNS196612:RNS196613 RXO196612:RXO196613 SHK196612:SHK196613 SRG196612:SRG196613 TBC196612:TBC196613 TKY196612:TKY196613 TUU196612:TUU196613 UEQ196612:UEQ196613 UOM196612:UOM196613 UYI196612:UYI196613 VIE196612:VIE196613 VSA196612:VSA196613 WBW196612:WBW196613 WLS196612:WLS196613 WVO196612:WVO196613 G262148:G262149 JC262148:JC262149 SY262148:SY262149 ACU262148:ACU262149 AMQ262148:AMQ262149 AWM262148:AWM262149 BGI262148:BGI262149 BQE262148:BQE262149 CAA262148:CAA262149 CJW262148:CJW262149 CTS262148:CTS262149 DDO262148:DDO262149 DNK262148:DNK262149 DXG262148:DXG262149 EHC262148:EHC262149 EQY262148:EQY262149 FAU262148:FAU262149 FKQ262148:FKQ262149 FUM262148:FUM262149 GEI262148:GEI262149 GOE262148:GOE262149 GYA262148:GYA262149 HHW262148:HHW262149 HRS262148:HRS262149 IBO262148:IBO262149 ILK262148:ILK262149 IVG262148:IVG262149 JFC262148:JFC262149 JOY262148:JOY262149 JYU262148:JYU262149 KIQ262148:KIQ262149 KSM262148:KSM262149 LCI262148:LCI262149 LME262148:LME262149 LWA262148:LWA262149 MFW262148:MFW262149 MPS262148:MPS262149 MZO262148:MZO262149 NJK262148:NJK262149 NTG262148:NTG262149 ODC262148:ODC262149 OMY262148:OMY262149 OWU262148:OWU262149 PGQ262148:PGQ262149 PQM262148:PQM262149 QAI262148:QAI262149 QKE262148:QKE262149 QUA262148:QUA262149 RDW262148:RDW262149 RNS262148:RNS262149 RXO262148:RXO262149 SHK262148:SHK262149 SRG262148:SRG262149 TBC262148:TBC262149 TKY262148:TKY262149 TUU262148:TUU262149 UEQ262148:UEQ262149 UOM262148:UOM262149 UYI262148:UYI262149 VIE262148:VIE262149 VSA262148:VSA262149 WBW262148:WBW262149 WLS262148:WLS262149 WVO262148:WVO262149 G327684:G327685 JC327684:JC327685 SY327684:SY327685 ACU327684:ACU327685 AMQ327684:AMQ327685 AWM327684:AWM327685 BGI327684:BGI327685 BQE327684:BQE327685 CAA327684:CAA327685 CJW327684:CJW327685 CTS327684:CTS327685 DDO327684:DDO327685 DNK327684:DNK327685 DXG327684:DXG327685 EHC327684:EHC327685 EQY327684:EQY327685 FAU327684:FAU327685 FKQ327684:FKQ327685 FUM327684:FUM327685 GEI327684:GEI327685 GOE327684:GOE327685 GYA327684:GYA327685 HHW327684:HHW327685 HRS327684:HRS327685 IBO327684:IBO327685 ILK327684:ILK327685 IVG327684:IVG327685 JFC327684:JFC327685 JOY327684:JOY327685 JYU327684:JYU327685 KIQ327684:KIQ327685 KSM327684:KSM327685 LCI327684:LCI327685 LME327684:LME327685 LWA327684:LWA327685 MFW327684:MFW327685 MPS327684:MPS327685 MZO327684:MZO327685 NJK327684:NJK327685 NTG327684:NTG327685 ODC327684:ODC327685 OMY327684:OMY327685 OWU327684:OWU327685 PGQ327684:PGQ327685 PQM327684:PQM327685 QAI327684:QAI327685 QKE327684:QKE327685 QUA327684:QUA327685 RDW327684:RDW327685 RNS327684:RNS327685 RXO327684:RXO327685 SHK327684:SHK327685 SRG327684:SRG327685 TBC327684:TBC327685 TKY327684:TKY327685 TUU327684:TUU327685 UEQ327684:UEQ327685 UOM327684:UOM327685 UYI327684:UYI327685 VIE327684:VIE327685 VSA327684:VSA327685 WBW327684:WBW327685 WLS327684:WLS327685 WVO327684:WVO327685 G393220:G393221 JC393220:JC393221 SY393220:SY393221 ACU393220:ACU393221 AMQ393220:AMQ393221 AWM393220:AWM393221 BGI393220:BGI393221 BQE393220:BQE393221 CAA393220:CAA393221 CJW393220:CJW393221 CTS393220:CTS393221 DDO393220:DDO393221 DNK393220:DNK393221 DXG393220:DXG393221 EHC393220:EHC393221 EQY393220:EQY393221 FAU393220:FAU393221 FKQ393220:FKQ393221 FUM393220:FUM393221 GEI393220:GEI393221 GOE393220:GOE393221 GYA393220:GYA393221 HHW393220:HHW393221 HRS393220:HRS393221 IBO393220:IBO393221 ILK393220:ILK393221 IVG393220:IVG393221 JFC393220:JFC393221 JOY393220:JOY393221 JYU393220:JYU393221 KIQ393220:KIQ393221 KSM393220:KSM393221 LCI393220:LCI393221 LME393220:LME393221 LWA393220:LWA393221 MFW393220:MFW393221 MPS393220:MPS393221 MZO393220:MZO393221 NJK393220:NJK393221 NTG393220:NTG393221 ODC393220:ODC393221 OMY393220:OMY393221 OWU393220:OWU393221 PGQ393220:PGQ393221 PQM393220:PQM393221 QAI393220:QAI393221 QKE393220:QKE393221 QUA393220:QUA393221 RDW393220:RDW393221 RNS393220:RNS393221 RXO393220:RXO393221 SHK393220:SHK393221 SRG393220:SRG393221 TBC393220:TBC393221 TKY393220:TKY393221 TUU393220:TUU393221 UEQ393220:UEQ393221 UOM393220:UOM393221 UYI393220:UYI393221 VIE393220:VIE393221 VSA393220:VSA393221 WBW393220:WBW393221 WLS393220:WLS393221 WVO393220:WVO393221 G458756:G458757 JC458756:JC458757 SY458756:SY458757 ACU458756:ACU458757 AMQ458756:AMQ458757 AWM458756:AWM458757 BGI458756:BGI458757 BQE458756:BQE458757 CAA458756:CAA458757 CJW458756:CJW458757 CTS458756:CTS458757 DDO458756:DDO458757 DNK458756:DNK458757 DXG458756:DXG458757 EHC458756:EHC458757 EQY458756:EQY458757 FAU458756:FAU458757 FKQ458756:FKQ458757 FUM458756:FUM458757 GEI458756:GEI458757 GOE458756:GOE458757 GYA458756:GYA458757 HHW458756:HHW458757 HRS458756:HRS458757 IBO458756:IBO458757 ILK458756:ILK458757 IVG458756:IVG458757 JFC458756:JFC458757 JOY458756:JOY458757 JYU458756:JYU458757 KIQ458756:KIQ458757 KSM458756:KSM458757 LCI458756:LCI458757 LME458756:LME458757 LWA458756:LWA458757 MFW458756:MFW458757 MPS458756:MPS458757 MZO458756:MZO458757 NJK458756:NJK458757 NTG458756:NTG458757 ODC458756:ODC458757 OMY458756:OMY458757 OWU458756:OWU458757 PGQ458756:PGQ458757 PQM458756:PQM458757 QAI458756:QAI458757 QKE458756:QKE458757 QUA458756:QUA458757 RDW458756:RDW458757 RNS458756:RNS458757 RXO458756:RXO458757 SHK458756:SHK458757 SRG458756:SRG458757 TBC458756:TBC458757 TKY458756:TKY458757 TUU458756:TUU458757 UEQ458756:UEQ458757 UOM458756:UOM458757 UYI458756:UYI458757 VIE458756:VIE458757 VSA458756:VSA458757 WBW458756:WBW458757 WLS458756:WLS458757 WVO458756:WVO458757 G524292:G524293 JC524292:JC524293 SY524292:SY524293 ACU524292:ACU524293 AMQ524292:AMQ524293 AWM524292:AWM524293 BGI524292:BGI524293 BQE524292:BQE524293 CAA524292:CAA524293 CJW524292:CJW524293 CTS524292:CTS524293 DDO524292:DDO524293 DNK524292:DNK524293 DXG524292:DXG524293 EHC524292:EHC524293 EQY524292:EQY524293 FAU524292:FAU524293 FKQ524292:FKQ524293 FUM524292:FUM524293 GEI524292:GEI524293 GOE524292:GOE524293 GYA524292:GYA524293 HHW524292:HHW524293 HRS524292:HRS524293 IBO524292:IBO524293 ILK524292:ILK524293 IVG524292:IVG524293 JFC524292:JFC524293 JOY524292:JOY524293 JYU524292:JYU524293 KIQ524292:KIQ524293 KSM524292:KSM524293 LCI524292:LCI524293 LME524292:LME524293 LWA524292:LWA524293 MFW524292:MFW524293 MPS524292:MPS524293 MZO524292:MZO524293 NJK524292:NJK524293 NTG524292:NTG524293 ODC524292:ODC524293 OMY524292:OMY524293 OWU524292:OWU524293 PGQ524292:PGQ524293 PQM524292:PQM524293 QAI524292:QAI524293 QKE524292:QKE524293 QUA524292:QUA524293 RDW524292:RDW524293 RNS524292:RNS524293 RXO524292:RXO524293 SHK524292:SHK524293 SRG524292:SRG524293 TBC524292:TBC524293 TKY524292:TKY524293 TUU524292:TUU524293 UEQ524292:UEQ524293 UOM524292:UOM524293 UYI524292:UYI524293 VIE524292:VIE524293 VSA524292:VSA524293 WBW524292:WBW524293 WLS524292:WLS524293 WVO524292:WVO524293 G589828:G589829 JC589828:JC589829 SY589828:SY589829 ACU589828:ACU589829 AMQ589828:AMQ589829 AWM589828:AWM589829 BGI589828:BGI589829 BQE589828:BQE589829 CAA589828:CAA589829 CJW589828:CJW589829 CTS589828:CTS589829 DDO589828:DDO589829 DNK589828:DNK589829 DXG589828:DXG589829 EHC589828:EHC589829 EQY589828:EQY589829 FAU589828:FAU589829 FKQ589828:FKQ589829 FUM589828:FUM589829 GEI589828:GEI589829 GOE589828:GOE589829 GYA589828:GYA589829 HHW589828:HHW589829 HRS589828:HRS589829 IBO589828:IBO589829 ILK589828:ILK589829 IVG589828:IVG589829 JFC589828:JFC589829 JOY589828:JOY589829 JYU589828:JYU589829 KIQ589828:KIQ589829 KSM589828:KSM589829 LCI589828:LCI589829 LME589828:LME589829 LWA589828:LWA589829 MFW589828:MFW589829 MPS589828:MPS589829 MZO589828:MZO589829 NJK589828:NJK589829 NTG589828:NTG589829 ODC589828:ODC589829 OMY589828:OMY589829 OWU589828:OWU589829 PGQ589828:PGQ589829 PQM589828:PQM589829 QAI589828:QAI589829 QKE589828:QKE589829 QUA589828:QUA589829 RDW589828:RDW589829 RNS589828:RNS589829 RXO589828:RXO589829 SHK589828:SHK589829 SRG589828:SRG589829 TBC589828:TBC589829 TKY589828:TKY589829 TUU589828:TUU589829 UEQ589828:UEQ589829 UOM589828:UOM589829 UYI589828:UYI589829 VIE589828:VIE589829 VSA589828:VSA589829 WBW589828:WBW589829 WLS589828:WLS589829 WVO589828:WVO589829 G655364:G655365 JC655364:JC655365 SY655364:SY655365 ACU655364:ACU655365 AMQ655364:AMQ655365 AWM655364:AWM655365 BGI655364:BGI655365 BQE655364:BQE655365 CAA655364:CAA655365 CJW655364:CJW655365 CTS655364:CTS655365 DDO655364:DDO655365 DNK655364:DNK655365 DXG655364:DXG655365 EHC655364:EHC655365 EQY655364:EQY655365 FAU655364:FAU655365 FKQ655364:FKQ655365 FUM655364:FUM655365 GEI655364:GEI655365 GOE655364:GOE655365 GYA655364:GYA655365 HHW655364:HHW655365 HRS655364:HRS655365 IBO655364:IBO655365 ILK655364:ILK655365 IVG655364:IVG655365 JFC655364:JFC655365 JOY655364:JOY655365 JYU655364:JYU655365 KIQ655364:KIQ655365 KSM655364:KSM655365 LCI655364:LCI655365 LME655364:LME655365 LWA655364:LWA655365 MFW655364:MFW655365 MPS655364:MPS655365 MZO655364:MZO655365 NJK655364:NJK655365 NTG655364:NTG655365 ODC655364:ODC655365 OMY655364:OMY655365 OWU655364:OWU655365 PGQ655364:PGQ655365 PQM655364:PQM655365 QAI655364:QAI655365 QKE655364:QKE655365 QUA655364:QUA655365 RDW655364:RDW655365 RNS655364:RNS655365 RXO655364:RXO655365 SHK655364:SHK655365 SRG655364:SRG655365 TBC655364:TBC655365 TKY655364:TKY655365 TUU655364:TUU655365 UEQ655364:UEQ655365 UOM655364:UOM655365 UYI655364:UYI655365 VIE655364:VIE655365 VSA655364:VSA655365 WBW655364:WBW655365 WLS655364:WLS655365 WVO655364:WVO655365 G720900:G720901 JC720900:JC720901 SY720900:SY720901 ACU720900:ACU720901 AMQ720900:AMQ720901 AWM720900:AWM720901 BGI720900:BGI720901 BQE720900:BQE720901 CAA720900:CAA720901 CJW720900:CJW720901 CTS720900:CTS720901 DDO720900:DDO720901 DNK720900:DNK720901 DXG720900:DXG720901 EHC720900:EHC720901 EQY720900:EQY720901 FAU720900:FAU720901 FKQ720900:FKQ720901 FUM720900:FUM720901 GEI720900:GEI720901 GOE720900:GOE720901 GYA720900:GYA720901 HHW720900:HHW720901 HRS720900:HRS720901 IBO720900:IBO720901 ILK720900:ILK720901 IVG720900:IVG720901 JFC720900:JFC720901 JOY720900:JOY720901 JYU720900:JYU720901 KIQ720900:KIQ720901 KSM720900:KSM720901 LCI720900:LCI720901 LME720900:LME720901 LWA720900:LWA720901 MFW720900:MFW720901 MPS720900:MPS720901 MZO720900:MZO720901 NJK720900:NJK720901 NTG720900:NTG720901 ODC720900:ODC720901 OMY720900:OMY720901 OWU720900:OWU720901 PGQ720900:PGQ720901 PQM720900:PQM720901 QAI720900:QAI720901 QKE720900:QKE720901 QUA720900:QUA720901 RDW720900:RDW720901 RNS720900:RNS720901 RXO720900:RXO720901 SHK720900:SHK720901 SRG720900:SRG720901 TBC720900:TBC720901 TKY720900:TKY720901 TUU720900:TUU720901 UEQ720900:UEQ720901 UOM720900:UOM720901 UYI720900:UYI720901 VIE720900:VIE720901 VSA720900:VSA720901 WBW720900:WBW720901 WLS720900:WLS720901 WVO720900:WVO720901 G786436:G786437 JC786436:JC786437 SY786436:SY786437 ACU786436:ACU786437 AMQ786436:AMQ786437 AWM786436:AWM786437 BGI786436:BGI786437 BQE786436:BQE786437 CAA786436:CAA786437 CJW786436:CJW786437 CTS786436:CTS786437 DDO786436:DDO786437 DNK786436:DNK786437 DXG786436:DXG786437 EHC786436:EHC786437 EQY786436:EQY786437 FAU786436:FAU786437 FKQ786436:FKQ786437 FUM786436:FUM786437 GEI786436:GEI786437 GOE786436:GOE786437 GYA786436:GYA786437 HHW786436:HHW786437 HRS786436:HRS786437 IBO786436:IBO786437 ILK786436:ILK786437 IVG786436:IVG786437 JFC786436:JFC786437 JOY786436:JOY786437 JYU786436:JYU786437 KIQ786436:KIQ786437 KSM786436:KSM786437 LCI786436:LCI786437 LME786436:LME786437 LWA786436:LWA786437 MFW786436:MFW786437 MPS786436:MPS786437 MZO786436:MZO786437 NJK786436:NJK786437 NTG786436:NTG786437 ODC786436:ODC786437 OMY786436:OMY786437 OWU786436:OWU786437 PGQ786436:PGQ786437 PQM786436:PQM786437 QAI786436:QAI786437 QKE786436:QKE786437 QUA786436:QUA786437 RDW786436:RDW786437 RNS786436:RNS786437 RXO786436:RXO786437 SHK786436:SHK786437 SRG786436:SRG786437 TBC786436:TBC786437 TKY786436:TKY786437 TUU786436:TUU786437 UEQ786436:UEQ786437 UOM786436:UOM786437 UYI786436:UYI786437 VIE786436:VIE786437 VSA786436:VSA786437 WBW786436:WBW786437 WLS786436:WLS786437 WVO786436:WVO786437 G851972:G851973 JC851972:JC851973 SY851972:SY851973 ACU851972:ACU851973 AMQ851972:AMQ851973 AWM851972:AWM851973 BGI851972:BGI851973 BQE851972:BQE851973 CAA851972:CAA851973 CJW851972:CJW851973 CTS851972:CTS851973 DDO851972:DDO851973 DNK851972:DNK851973 DXG851972:DXG851973 EHC851972:EHC851973 EQY851972:EQY851973 FAU851972:FAU851973 FKQ851972:FKQ851973 FUM851972:FUM851973 GEI851972:GEI851973 GOE851972:GOE851973 GYA851972:GYA851973 HHW851972:HHW851973 HRS851972:HRS851973 IBO851972:IBO851973 ILK851972:ILK851973 IVG851972:IVG851973 JFC851972:JFC851973 JOY851972:JOY851973 JYU851972:JYU851973 KIQ851972:KIQ851973 KSM851972:KSM851973 LCI851972:LCI851973 LME851972:LME851973 LWA851972:LWA851973 MFW851972:MFW851973 MPS851972:MPS851973 MZO851972:MZO851973 NJK851972:NJK851973 NTG851972:NTG851973 ODC851972:ODC851973 OMY851972:OMY851973 OWU851972:OWU851973 PGQ851972:PGQ851973 PQM851972:PQM851973 QAI851972:QAI851973 QKE851972:QKE851973 QUA851972:QUA851973 RDW851972:RDW851973 RNS851972:RNS851973 RXO851972:RXO851973 SHK851972:SHK851973 SRG851972:SRG851973 TBC851972:TBC851973 TKY851972:TKY851973 TUU851972:TUU851973 UEQ851972:UEQ851973 UOM851972:UOM851973 UYI851972:UYI851973 VIE851972:VIE851973 VSA851972:VSA851973 WBW851972:WBW851973 WLS851972:WLS851973 WVO851972:WVO851973 G917508:G917509 JC917508:JC917509 SY917508:SY917509 ACU917508:ACU917509 AMQ917508:AMQ917509 AWM917508:AWM917509 BGI917508:BGI917509 BQE917508:BQE917509 CAA917508:CAA917509 CJW917508:CJW917509 CTS917508:CTS917509 DDO917508:DDO917509 DNK917508:DNK917509 DXG917508:DXG917509 EHC917508:EHC917509 EQY917508:EQY917509 FAU917508:FAU917509 FKQ917508:FKQ917509 FUM917508:FUM917509 GEI917508:GEI917509 GOE917508:GOE917509 GYA917508:GYA917509 HHW917508:HHW917509 HRS917508:HRS917509 IBO917508:IBO917509 ILK917508:ILK917509 IVG917508:IVG917509 JFC917508:JFC917509 JOY917508:JOY917509 JYU917508:JYU917509 KIQ917508:KIQ917509 KSM917508:KSM917509 LCI917508:LCI917509 LME917508:LME917509 LWA917508:LWA917509 MFW917508:MFW917509 MPS917508:MPS917509 MZO917508:MZO917509 NJK917508:NJK917509 NTG917508:NTG917509 ODC917508:ODC917509 OMY917508:OMY917509 OWU917508:OWU917509 PGQ917508:PGQ917509 PQM917508:PQM917509 QAI917508:QAI917509 QKE917508:QKE917509 QUA917508:QUA917509 RDW917508:RDW917509 RNS917508:RNS917509 RXO917508:RXO917509 SHK917508:SHK917509 SRG917508:SRG917509 TBC917508:TBC917509 TKY917508:TKY917509 TUU917508:TUU917509 UEQ917508:UEQ917509 UOM917508:UOM917509 UYI917508:UYI917509 VIE917508:VIE917509 VSA917508:VSA917509 WBW917508:WBW917509 WLS917508:WLS917509 WVO917508:WVO917509 G983044:G983045 JC983044:JC983045 SY983044:SY983045 ACU983044:ACU983045 AMQ983044:AMQ983045 AWM983044:AWM983045 BGI983044:BGI983045 BQE983044:BQE983045 CAA983044:CAA983045 CJW983044:CJW983045 CTS983044:CTS983045 DDO983044:DDO983045 DNK983044:DNK983045 DXG983044:DXG983045 EHC983044:EHC983045 EQY983044:EQY983045 FAU983044:FAU983045 FKQ983044:FKQ983045 FUM983044:FUM983045 GEI983044:GEI983045 GOE983044:GOE983045 GYA983044:GYA983045 HHW983044:HHW983045 HRS983044:HRS983045 IBO983044:IBO983045 ILK983044:ILK983045 IVG983044:IVG983045 JFC983044:JFC983045 JOY983044:JOY983045 JYU983044:JYU983045 KIQ983044:KIQ983045 KSM983044:KSM983045 LCI983044:LCI983045 LME983044:LME983045 LWA983044:LWA983045 MFW983044:MFW983045 MPS983044:MPS983045 MZO983044:MZO983045 NJK983044:NJK983045 NTG983044:NTG983045 ODC983044:ODC983045 OMY983044:OMY983045 OWU983044:OWU983045 PGQ983044:PGQ983045 PQM983044:PQM983045 QAI983044:QAI983045 QKE983044:QKE983045 QUA983044:QUA983045 RDW983044:RDW983045 RNS983044:RNS983045 RXO983044:RXO983045 SHK983044:SHK983045 SRG983044:SRG983045 TBC983044:TBC983045 TKY983044:TKY983045 TUU983044:TUU983045 UEQ983044:UEQ983045 UOM983044:UOM983045 UYI983044:UYI983045 VIE983044:VIE983045 VSA983044:VSA983045 WBW983044:WBW983045 WLS983044:WLS983045 WVO983044:WVO983045"/>
  </dataValidation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2"/>
  <sheetViews>
    <sheetView topLeftCell="A34" workbookViewId="0">
      <selection activeCell="N21" sqref="N21"/>
    </sheetView>
  </sheetViews>
  <sheetFormatPr defaultRowHeight="15" x14ac:dyDescent="0.25"/>
  <sheetData>
    <row r="1" spans="1:32" x14ac:dyDescent="0.25">
      <c r="J1">
        <f>+H6-519</f>
        <v>1159</v>
      </c>
    </row>
    <row r="2" spans="1:32" x14ac:dyDescent="0.25">
      <c r="A2" s="2148" t="str">
        <f>Design!B1</f>
        <v>CPWS SCHEME TO                                                                                                       DISTRICT</v>
      </c>
      <c r="B2" s="2148"/>
      <c r="C2" s="2148"/>
      <c r="D2" s="2148"/>
      <c r="E2" s="2148"/>
      <c r="F2" s="2148"/>
      <c r="G2" s="2148"/>
      <c r="H2" s="2148"/>
      <c r="I2" s="2148"/>
      <c r="U2" s="90"/>
      <c r="V2" s="90"/>
      <c r="W2" s="90"/>
      <c r="X2" s="90"/>
      <c r="Y2" s="90"/>
      <c r="Z2" s="90"/>
      <c r="AA2" s="90"/>
      <c r="AB2" s="90"/>
      <c r="AC2" s="90"/>
      <c r="AD2" s="90"/>
      <c r="AE2" s="90"/>
      <c r="AF2" s="90"/>
    </row>
    <row r="3" spans="1:32" x14ac:dyDescent="0.25">
      <c r="A3" s="129"/>
      <c r="B3" s="155"/>
      <c r="C3" s="189"/>
      <c r="D3" s="677"/>
      <c r="E3" s="155"/>
      <c r="F3" s="155"/>
      <c r="G3" s="155"/>
      <c r="H3" s="129"/>
      <c r="I3" s="129"/>
      <c r="S3" s="689"/>
      <c r="T3" s="689"/>
      <c r="U3" s="90"/>
      <c r="V3" s="257"/>
      <c r="W3" s="257"/>
      <c r="X3" s="257"/>
      <c r="Y3" s="258"/>
      <c r="Z3" s="257"/>
      <c r="AA3" s="257"/>
      <c r="AB3" s="257"/>
      <c r="AC3" s="176"/>
      <c r="AD3" s="90"/>
      <c r="AE3" s="90"/>
      <c r="AF3" s="90"/>
    </row>
    <row r="4" spans="1:32" x14ac:dyDescent="0.25">
      <c r="A4" s="129"/>
      <c r="B4" s="155"/>
      <c r="C4" s="155"/>
      <c r="D4" s="155"/>
      <c r="E4" s="155"/>
      <c r="F4" s="155"/>
      <c r="G4" s="155"/>
      <c r="H4" s="129"/>
      <c r="I4" s="129"/>
      <c r="U4" s="90"/>
      <c r="V4" s="83"/>
      <c r="W4" s="83"/>
      <c r="X4" s="83"/>
      <c r="Y4" s="83"/>
      <c r="Z4" s="83"/>
      <c r="AA4" s="83"/>
      <c r="AB4" s="83"/>
      <c r="AC4" s="90"/>
      <c r="AD4" s="90"/>
      <c r="AE4" s="90"/>
      <c r="AF4" s="90"/>
    </row>
    <row r="5" spans="1:32" x14ac:dyDescent="0.25">
      <c r="A5" s="129"/>
      <c r="B5" s="129"/>
      <c r="C5" s="129"/>
      <c r="D5" s="129"/>
      <c r="E5" s="129"/>
      <c r="F5" s="129"/>
      <c r="G5" s="129"/>
      <c r="H5" s="129"/>
      <c r="I5" s="129"/>
      <c r="U5" s="90"/>
      <c r="V5" s="83"/>
      <c r="W5" s="83"/>
      <c r="X5" s="83"/>
      <c r="Y5" s="83"/>
      <c r="Z5" s="83"/>
      <c r="AA5" s="83"/>
      <c r="AB5" s="83"/>
      <c r="AC5" s="90"/>
      <c r="AD5" s="90"/>
      <c r="AE5" s="90"/>
      <c r="AF5" s="90"/>
    </row>
    <row r="6" spans="1:32" x14ac:dyDescent="0.25">
      <c r="A6" s="129"/>
      <c r="B6" s="129"/>
      <c r="C6" s="129"/>
      <c r="D6" s="129"/>
      <c r="E6" s="129"/>
      <c r="F6" s="129"/>
      <c r="G6" s="690" t="s">
        <v>16</v>
      </c>
      <c r="H6" s="691">
        <f>Design!G25</f>
        <v>1678</v>
      </c>
      <c r="I6" s="129"/>
      <c r="U6" s="90"/>
      <c r="V6" s="83"/>
      <c r="W6" s="83"/>
      <c r="X6" s="83"/>
      <c r="Y6" s="83"/>
      <c r="Z6" s="83"/>
      <c r="AA6" s="83"/>
      <c r="AB6" s="83"/>
      <c r="AC6" s="90"/>
      <c r="AD6" s="90"/>
      <c r="AE6" s="90"/>
      <c r="AF6" s="90"/>
    </row>
    <row r="7" spans="1:32" x14ac:dyDescent="0.25">
      <c r="A7" s="129"/>
      <c r="B7" s="129"/>
      <c r="C7" s="139"/>
      <c r="D7" s="139"/>
      <c r="E7" s="139"/>
      <c r="F7" s="129"/>
      <c r="G7" s="129"/>
      <c r="H7" s="129"/>
      <c r="I7" s="129"/>
      <c r="U7" s="90"/>
      <c r="V7" s="83"/>
      <c r="W7" s="83"/>
      <c r="X7" s="83"/>
      <c r="Y7" s="83"/>
      <c r="Z7" s="83"/>
      <c r="AA7" s="83"/>
      <c r="AB7" s="83"/>
      <c r="AC7" s="90"/>
      <c r="AD7" s="90"/>
      <c r="AE7" s="90"/>
      <c r="AF7" s="90"/>
    </row>
    <row r="8" spans="1:32" x14ac:dyDescent="0.25">
      <c r="A8" s="129" t="s">
        <v>585</v>
      </c>
      <c r="B8" s="129"/>
      <c r="C8" s="692">
        <v>7.4999999999999997E-2</v>
      </c>
      <c r="D8" s="693"/>
      <c r="E8" s="693"/>
      <c r="F8" s="139"/>
      <c r="G8" s="139"/>
      <c r="H8" s="139"/>
      <c r="I8" s="129"/>
      <c r="U8" s="90"/>
      <c r="V8" s="83"/>
      <c r="W8" s="83"/>
      <c r="X8" s="83"/>
      <c r="Y8" s="83"/>
      <c r="Z8" s="83"/>
      <c r="AA8" s="83"/>
      <c r="AB8" s="83"/>
      <c r="AC8" s="90"/>
      <c r="AD8" s="90"/>
      <c r="AE8" s="90"/>
      <c r="AF8" s="90"/>
    </row>
    <row r="9" spans="1:32" x14ac:dyDescent="0.25">
      <c r="A9" s="129"/>
      <c r="B9" s="129"/>
      <c r="C9" s="139"/>
      <c r="D9" s="693"/>
      <c r="E9" s="693"/>
      <c r="F9" s="139"/>
      <c r="G9" s="139"/>
      <c r="H9" s="139"/>
      <c r="I9" s="129"/>
      <c r="O9" s="105"/>
      <c r="P9" s="105"/>
      <c r="U9" s="90"/>
      <c r="V9" s="83"/>
      <c r="W9" s="83"/>
      <c r="X9" s="83"/>
      <c r="Y9" s="83"/>
      <c r="Z9" s="83"/>
      <c r="AA9" s="83"/>
      <c r="AB9" s="83"/>
      <c r="AC9" s="90"/>
      <c r="AD9" s="90"/>
      <c r="AE9" s="90"/>
      <c r="AF9" s="90"/>
    </row>
    <row r="10" spans="1:32" x14ac:dyDescent="0.25">
      <c r="A10" s="129"/>
      <c r="B10" s="129"/>
      <c r="C10" s="139"/>
      <c r="D10" s="693"/>
      <c r="E10" s="129"/>
      <c r="F10" s="694">
        <v>1</v>
      </c>
      <c r="G10" s="139"/>
      <c r="H10" s="139"/>
      <c r="I10" s="129"/>
      <c r="O10" s="105"/>
      <c r="P10" s="105"/>
      <c r="U10" s="90"/>
      <c r="V10" s="83"/>
      <c r="W10" s="83"/>
      <c r="X10" s="83"/>
      <c r="Y10" s="83"/>
      <c r="Z10" s="83"/>
      <c r="AA10" s="83"/>
      <c r="AB10" s="83"/>
      <c r="AC10" s="90"/>
      <c r="AD10" s="90"/>
      <c r="AE10" s="90"/>
      <c r="AF10" s="90"/>
    </row>
    <row r="11" spans="1:32" x14ac:dyDescent="0.25">
      <c r="A11" s="130" t="s">
        <v>586</v>
      </c>
      <c r="B11" s="129"/>
      <c r="C11" s="331">
        <v>0.25</v>
      </c>
      <c r="D11" s="693"/>
      <c r="E11" s="693"/>
      <c r="F11" s="139"/>
      <c r="G11" s="139"/>
      <c r="H11" s="139"/>
      <c r="I11" s="129"/>
      <c r="U11" s="90"/>
      <c r="V11" s="83"/>
      <c r="W11" s="83"/>
      <c r="X11" s="83"/>
      <c r="Y11" s="83"/>
      <c r="Z11" s="83"/>
      <c r="AA11" s="83"/>
      <c r="AB11" s="83"/>
      <c r="AC11" s="90"/>
      <c r="AD11" s="90"/>
      <c r="AE11" s="90"/>
      <c r="AF11" s="90"/>
    </row>
    <row r="12" spans="1:32" x14ac:dyDescent="0.25">
      <c r="A12" s="129"/>
      <c r="B12" s="129"/>
      <c r="C12" s="695">
        <v>0.25</v>
      </c>
      <c r="D12" s="139"/>
      <c r="E12" s="139"/>
      <c r="F12" s="139"/>
      <c r="G12" s="139"/>
      <c r="H12" s="669" t="s">
        <v>122</v>
      </c>
      <c r="I12" s="129"/>
      <c r="U12" s="90"/>
      <c r="V12" s="83"/>
      <c r="W12" s="83"/>
      <c r="X12" s="83"/>
      <c r="Y12" s="83"/>
      <c r="Z12" s="83"/>
      <c r="AA12" s="83"/>
      <c r="AB12" s="83"/>
      <c r="AC12" s="90"/>
      <c r="AD12" s="90"/>
      <c r="AE12" s="90"/>
      <c r="AF12" s="90"/>
    </row>
    <row r="13" spans="1:32" x14ac:dyDescent="0.25">
      <c r="A13" s="319" t="s">
        <v>673</v>
      </c>
      <c r="B13" s="324"/>
      <c r="C13" s="670">
        <v>0.3</v>
      </c>
      <c r="D13" s="129"/>
      <c r="E13" s="129"/>
      <c r="F13" s="139"/>
      <c r="G13" s="139"/>
      <c r="H13" s="139"/>
      <c r="I13" s="129"/>
      <c r="U13" s="90"/>
      <c r="V13" s="83"/>
      <c r="W13" s="83"/>
      <c r="X13" s="83"/>
      <c r="Y13" s="83"/>
      <c r="Z13" s="83"/>
      <c r="AA13" s="83"/>
      <c r="AB13" s="83"/>
      <c r="AC13" s="90"/>
      <c r="AD13" s="90"/>
      <c r="AE13" s="90"/>
      <c r="AF13" s="90"/>
    </row>
    <row r="14" spans="1:32" x14ac:dyDescent="0.25">
      <c r="A14" s="324" t="s">
        <v>674</v>
      </c>
      <c r="B14" s="324"/>
      <c r="C14" s="331">
        <v>0.3</v>
      </c>
      <c r="D14" s="139"/>
      <c r="E14" s="139"/>
      <c r="F14" s="139"/>
      <c r="G14" s="325"/>
      <c r="H14" s="139"/>
      <c r="I14" s="129"/>
      <c r="U14" s="90"/>
      <c r="V14" s="83"/>
      <c r="W14" s="83"/>
      <c r="X14" s="83"/>
      <c r="Y14" s="83"/>
      <c r="Z14" s="83"/>
      <c r="AA14" s="83"/>
      <c r="AB14" s="83"/>
      <c r="AC14" s="90"/>
      <c r="AD14" s="90"/>
      <c r="AE14" s="90"/>
      <c r="AF14" s="90"/>
    </row>
    <row r="15" spans="1:32" x14ac:dyDescent="0.25">
      <c r="A15" s="129"/>
      <c r="B15" s="546" t="s">
        <v>122</v>
      </c>
      <c r="C15" s="139"/>
      <c r="D15" s="139"/>
      <c r="E15" s="696"/>
      <c r="F15" s="671">
        <v>5</v>
      </c>
      <c r="G15" s="139"/>
      <c r="H15" s="139"/>
      <c r="I15" s="129"/>
      <c r="U15" s="90"/>
      <c r="V15" s="83"/>
      <c r="W15" s="83"/>
      <c r="X15" s="83"/>
      <c r="Y15" s="83"/>
      <c r="Z15" s="83"/>
      <c r="AA15" s="83"/>
      <c r="AB15" s="83"/>
      <c r="AC15" s="90"/>
      <c r="AD15" s="90"/>
      <c r="AE15" s="90"/>
      <c r="AF15" s="90"/>
    </row>
    <row r="16" spans="1:32" x14ac:dyDescent="0.25">
      <c r="A16" s="129"/>
      <c r="B16" s="129"/>
      <c r="C16" s="139"/>
      <c r="D16" s="139"/>
      <c r="E16" s="139"/>
      <c r="F16" s="139"/>
      <c r="G16" s="139"/>
      <c r="H16" s="139"/>
      <c r="I16" s="129"/>
      <c r="U16" s="90"/>
      <c r="V16" s="90"/>
      <c r="W16" s="90"/>
      <c r="X16" s="90"/>
      <c r="Y16" s="90"/>
      <c r="Z16" s="90"/>
      <c r="AA16" s="90"/>
      <c r="AB16" s="90"/>
      <c r="AC16" s="90"/>
      <c r="AD16" s="90"/>
      <c r="AE16" s="90"/>
      <c r="AF16" s="90"/>
    </row>
    <row r="17" spans="1:32" x14ac:dyDescent="0.25">
      <c r="A17" s="129" t="s">
        <v>665</v>
      </c>
      <c r="B17" s="129"/>
      <c r="C17" s="331">
        <v>2.6</v>
      </c>
      <c r="D17" s="139"/>
      <c r="E17" s="139"/>
      <c r="F17" s="139"/>
      <c r="G17" s="139"/>
      <c r="H17" s="139"/>
      <c r="I17" s="129"/>
      <c r="U17" s="90"/>
      <c r="V17" s="90"/>
      <c r="W17" s="90"/>
      <c r="X17" s="90"/>
      <c r="Y17" s="90"/>
      <c r="Z17" s="90"/>
      <c r="AA17" s="90"/>
      <c r="AB17" s="90"/>
      <c r="AC17" s="90"/>
      <c r="AD17" s="90"/>
      <c r="AE17" s="90"/>
      <c r="AF17" s="90"/>
    </row>
    <row r="18" spans="1:32" x14ac:dyDescent="0.25">
      <c r="A18" s="129"/>
      <c r="B18" s="129"/>
      <c r="C18" s="140"/>
      <c r="D18" s="139"/>
      <c r="E18" s="139"/>
      <c r="F18" s="139"/>
      <c r="G18" s="139"/>
      <c r="H18" s="139"/>
      <c r="I18" s="129"/>
      <c r="U18" s="90"/>
      <c r="V18" s="90"/>
      <c r="W18" s="90"/>
      <c r="X18" s="90"/>
      <c r="Y18" s="90"/>
      <c r="Z18" s="90"/>
      <c r="AA18" s="90"/>
      <c r="AB18" s="90"/>
      <c r="AC18" s="90"/>
      <c r="AD18" s="90"/>
      <c r="AE18" s="90"/>
      <c r="AF18" s="90"/>
    </row>
    <row r="19" spans="1:32" x14ac:dyDescent="0.25">
      <c r="A19" s="1459" t="s">
        <v>1706</v>
      </c>
      <c r="B19" s="163"/>
      <c r="C19" s="1460">
        <v>0.15</v>
      </c>
      <c r="D19" s="139"/>
      <c r="E19" s="672">
        <v>6</v>
      </c>
      <c r="F19" s="139"/>
      <c r="G19" s="139"/>
      <c r="H19" s="139"/>
      <c r="I19" s="129"/>
      <c r="U19" s="90"/>
      <c r="V19" s="90"/>
      <c r="W19" s="90"/>
      <c r="X19" s="90"/>
      <c r="Y19" s="90"/>
      <c r="Z19" s="90"/>
      <c r="AA19" s="90"/>
      <c r="AB19" s="90"/>
      <c r="AC19" s="90"/>
      <c r="AD19" s="90"/>
      <c r="AE19" s="90"/>
      <c r="AF19" s="90"/>
    </row>
    <row r="20" spans="1:32" x14ac:dyDescent="0.25">
      <c r="A20" s="1461" t="s">
        <v>1707</v>
      </c>
      <c r="B20" s="1462"/>
      <c r="C20" s="1463">
        <v>0.2</v>
      </c>
      <c r="D20" s="139"/>
      <c r="E20" s="139"/>
      <c r="F20" s="139"/>
      <c r="G20" s="139"/>
      <c r="H20" s="139"/>
      <c r="I20" s="129"/>
      <c r="U20" s="90"/>
      <c r="V20" s="90"/>
      <c r="W20" s="90"/>
      <c r="X20" s="90"/>
      <c r="Y20" s="90"/>
      <c r="Z20" s="90"/>
      <c r="AA20" s="90"/>
      <c r="AB20" s="90"/>
      <c r="AC20" s="90"/>
      <c r="AD20" s="90"/>
      <c r="AE20" s="90"/>
      <c r="AF20" s="90"/>
    </row>
    <row r="21" spans="1:32" x14ac:dyDescent="0.25">
      <c r="A21" s="319" t="s">
        <v>567</v>
      </c>
      <c r="B21" s="129"/>
      <c r="C21" s="670">
        <v>0.15</v>
      </c>
      <c r="D21" s="139"/>
      <c r="E21" s="139"/>
      <c r="F21" s="139"/>
      <c r="G21" s="429">
        <v>0.3</v>
      </c>
      <c r="H21" s="139"/>
      <c r="I21" s="129"/>
      <c r="U21" s="90"/>
      <c r="V21" s="90"/>
      <c r="W21" s="90"/>
      <c r="X21" s="90"/>
      <c r="Y21" s="90"/>
      <c r="Z21" s="90"/>
      <c r="AA21" s="90"/>
      <c r="AB21" s="90"/>
      <c r="AC21" s="90"/>
      <c r="AD21" s="90"/>
      <c r="AE21" s="90"/>
      <c r="AF21" s="90"/>
    </row>
    <row r="22" spans="1:32" x14ac:dyDescent="0.25">
      <c r="A22" s="129"/>
      <c r="B22" s="129"/>
      <c r="C22" s="324"/>
      <c r="D22" s="139"/>
      <c r="E22" s="139"/>
      <c r="F22" s="139"/>
      <c r="G22" s="139"/>
      <c r="H22" s="139"/>
      <c r="I22" s="129"/>
      <c r="U22" s="90"/>
      <c r="V22" s="90"/>
      <c r="W22" s="90"/>
      <c r="X22" s="90"/>
      <c r="Y22" s="90"/>
      <c r="Z22" s="90"/>
      <c r="AA22" s="90"/>
      <c r="AB22" s="90"/>
      <c r="AC22" s="90"/>
      <c r="AD22" s="90"/>
      <c r="AE22" s="90"/>
      <c r="AF22" s="90"/>
    </row>
    <row r="23" spans="1:32" x14ac:dyDescent="0.25">
      <c r="A23" s="130" t="s">
        <v>568</v>
      </c>
      <c r="B23" s="129"/>
      <c r="C23" s="697">
        <v>0.125</v>
      </c>
      <c r="D23" s="139"/>
      <c r="E23" s="139"/>
      <c r="F23" s="139"/>
      <c r="G23" s="139"/>
      <c r="H23" s="139"/>
      <c r="I23" s="129"/>
      <c r="U23" s="90"/>
      <c r="V23" s="90"/>
      <c r="W23" s="90"/>
      <c r="X23" s="90"/>
      <c r="Y23" s="90"/>
      <c r="Z23" s="90"/>
      <c r="AA23" s="90"/>
      <c r="AB23" s="90"/>
      <c r="AC23" s="90"/>
      <c r="AD23" s="90"/>
      <c r="AE23" s="90"/>
      <c r="AF23" s="90"/>
    </row>
    <row r="24" spans="1:32" x14ac:dyDescent="0.25">
      <c r="A24" s="129"/>
      <c r="B24" s="129"/>
      <c r="C24" s="140"/>
      <c r="D24" s="139"/>
      <c r="E24" s="139"/>
      <c r="F24" s="139"/>
      <c r="G24" s="139"/>
      <c r="K24" s="334" t="s">
        <v>1708</v>
      </c>
      <c r="L24" s="674">
        <v>0.3</v>
      </c>
      <c r="U24" s="90"/>
      <c r="V24" s="90"/>
      <c r="W24" s="90"/>
      <c r="X24" s="90"/>
      <c r="Y24" s="90"/>
      <c r="Z24" s="90"/>
      <c r="AA24" s="90"/>
      <c r="AB24" s="90"/>
      <c r="AC24" s="90"/>
      <c r="AD24" s="90"/>
      <c r="AE24" s="90"/>
      <c r="AF24" s="90"/>
    </row>
    <row r="25" spans="1:32" x14ac:dyDescent="0.25">
      <c r="A25" s="129"/>
      <c r="B25" s="129"/>
      <c r="C25" s="139"/>
      <c r="D25" s="139"/>
      <c r="E25" s="140">
        <f>+(E19+2*C19+2*G21)</f>
        <v>6.8999999999999995</v>
      </c>
      <c r="F25" s="139"/>
      <c r="G25" s="139"/>
      <c r="K25" s="324" t="s">
        <v>125</v>
      </c>
      <c r="L25" s="674">
        <v>0.3</v>
      </c>
      <c r="U25" s="90"/>
      <c r="V25" s="90"/>
      <c r="W25" s="90"/>
      <c r="X25" s="90"/>
      <c r="Y25" s="90"/>
      <c r="Z25" s="90"/>
      <c r="AA25" s="90"/>
      <c r="AB25" s="90"/>
      <c r="AC25" s="90"/>
      <c r="AD25" s="90"/>
      <c r="AE25" s="90"/>
      <c r="AF25" s="90"/>
    </row>
    <row r="26" spans="1:32" x14ac:dyDescent="0.25">
      <c r="A26" s="129"/>
      <c r="B26" s="129"/>
      <c r="C26" s="129"/>
      <c r="D26" s="129"/>
      <c r="E26" s="129"/>
      <c r="F26" s="129"/>
      <c r="G26" s="129"/>
      <c r="H26" s="129"/>
      <c r="I26" s="129"/>
      <c r="U26" s="90"/>
      <c r="V26" s="90"/>
      <c r="W26" s="90"/>
      <c r="X26" s="90"/>
      <c r="Y26" s="90"/>
      <c r="Z26" s="90"/>
      <c r="AA26" s="90"/>
      <c r="AB26" s="90"/>
      <c r="AC26" s="90"/>
      <c r="AD26" s="90"/>
      <c r="AE26" s="90"/>
      <c r="AF26" s="90"/>
    </row>
    <row r="27" spans="1:32" x14ac:dyDescent="0.25">
      <c r="A27" s="129"/>
      <c r="B27" s="129"/>
      <c r="C27" s="129"/>
      <c r="D27" s="532" t="s">
        <v>688</v>
      </c>
      <c r="E27" s="534"/>
      <c r="F27" s="676"/>
      <c r="G27" s="189"/>
      <c r="H27" s="129"/>
      <c r="I27" s="129"/>
      <c r="U27" s="90"/>
      <c r="V27" s="90"/>
      <c r="W27" s="90"/>
      <c r="X27" s="90"/>
      <c r="Y27" s="90"/>
      <c r="Z27" s="90"/>
      <c r="AA27" s="90"/>
      <c r="AB27" s="90"/>
      <c r="AC27" s="90"/>
      <c r="AD27" s="90"/>
      <c r="AE27" s="90"/>
      <c r="AF27" s="90"/>
    </row>
    <row r="28" spans="1:32" x14ac:dyDescent="0.25">
      <c r="A28" s="2156" t="s">
        <v>1709</v>
      </c>
      <c r="B28" s="2156"/>
      <c r="C28" s="1464">
        <v>25</v>
      </c>
      <c r="D28" s="129"/>
      <c r="E28" s="129"/>
      <c r="F28" s="129"/>
      <c r="G28" s="129"/>
      <c r="H28" s="129"/>
      <c r="I28" s="129"/>
      <c r="U28" s="90"/>
      <c r="V28" s="90"/>
      <c r="W28" s="90"/>
      <c r="X28" s="90"/>
      <c r="Y28" s="90"/>
      <c r="Z28" s="90"/>
      <c r="AA28" s="90"/>
      <c r="AB28" s="90"/>
      <c r="AC28" s="90"/>
      <c r="AD28" s="90"/>
      <c r="AE28" s="90"/>
      <c r="AF28" s="90"/>
    </row>
    <row r="29" spans="1:32" x14ac:dyDescent="0.25">
      <c r="A29" s="2156" t="s">
        <v>1710</v>
      </c>
      <c r="B29" s="2156"/>
      <c r="C29" s="1464">
        <v>25</v>
      </c>
      <c r="D29" s="129"/>
      <c r="E29" s="129"/>
      <c r="F29" s="129"/>
      <c r="G29" s="129"/>
      <c r="H29" s="129"/>
      <c r="I29" s="129"/>
      <c r="U29" s="90"/>
      <c r="V29" s="90"/>
      <c r="W29" s="90"/>
      <c r="X29" s="90"/>
      <c r="Y29" s="90"/>
      <c r="Z29" s="90"/>
      <c r="AA29" s="90"/>
      <c r="AB29" s="90"/>
      <c r="AC29" s="90"/>
      <c r="AD29" s="90"/>
      <c r="AE29" s="90"/>
      <c r="AF29" s="90"/>
    </row>
    <row r="30" spans="1:32" x14ac:dyDescent="0.25">
      <c r="A30" s="129"/>
      <c r="B30" s="129"/>
      <c r="C30" s="129"/>
      <c r="D30" s="129"/>
      <c r="E30" s="129"/>
      <c r="F30" s="129"/>
      <c r="G30" s="129"/>
      <c r="H30" s="129"/>
      <c r="I30" s="129"/>
      <c r="U30" s="90"/>
      <c r="V30" s="90"/>
      <c r="W30" s="90"/>
      <c r="X30" s="90"/>
      <c r="Y30" s="90"/>
      <c r="Z30" s="90"/>
      <c r="AA30" s="90"/>
      <c r="AB30" s="90"/>
      <c r="AC30" s="90"/>
      <c r="AD30" s="90"/>
      <c r="AE30" s="90"/>
      <c r="AF30" s="90"/>
    </row>
    <row r="31" spans="1:32" x14ac:dyDescent="0.25">
      <c r="A31" s="700" t="s">
        <v>676</v>
      </c>
      <c r="B31" s="302"/>
      <c r="C31" s="302"/>
      <c r="D31" s="525">
        <f>+ROUNDDOWN(C28*C29*(C17+C14-C21-C13),0)</f>
        <v>1531</v>
      </c>
      <c r="E31" s="129" t="s">
        <v>20</v>
      </c>
      <c r="F31" s="129"/>
      <c r="G31" s="129"/>
      <c r="H31" s="129"/>
      <c r="I31" s="129"/>
      <c r="U31" s="90"/>
      <c r="V31" s="90"/>
      <c r="W31" s="90"/>
      <c r="X31" s="90"/>
      <c r="Y31" s="90"/>
      <c r="Z31" s="90"/>
      <c r="AA31" s="90"/>
      <c r="AB31" s="90"/>
      <c r="AC31" s="90"/>
      <c r="AD31" s="90"/>
      <c r="AE31" s="90"/>
      <c r="AF31" s="90"/>
    </row>
    <row r="32" spans="1:32" x14ac:dyDescent="0.25">
      <c r="A32" s="302" t="s">
        <v>677</v>
      </c>
      <c r="B32" s="302"/>
      <c r="C32" s="302"/>
      <c r="D32" s="525">
        <f>+ROUNDDOWN(C28*C29*(C17+C14-C13),0)</f>
        <v>1625</v>
      </c>
      <c r="E32" s="129" t="s">
        <v>20</v>
      </c>
      <c r="F32" s="129"/>
      <c r="G32" s="129"/>
      <c r="H32" s="129"/>
      <c r="I32" s="129"/>
      <c r="U32" s="90"/>
      <c r="V32" s="90"/>
      <c r="W32" s="90"/>
      <c r="X32" s="90"/>
      <c r="Y32" s="90"/>
      <c r="Z32" s="90"/>
      <c r="AA32" s="90"/>
      <c r="AB32" s="90"/>
      <c r="AC32" s="90"/>
      <c r="AD32" s="90"/>
      <c r="AE32" s="90"/>
      <c r="AF32" s="90"/>
    </row>
    <row r="33" spans="1:32" x14ac:dyDescent="0.25">
      <c r="A33" s="129" t="s">
        <v>127</v>
      </c>
      <c r="B33" s="129"/>
      <c r="C33" s="129"/>
      <c r="D33" s="139" t="s">
        <v>128</v>
      </c>
      <c r="E33" s="129"/>
      <c r="F33" s="129"/>
      <c r="G33" s="129"/>
      <c r="H33" s="129"/>
      <c r="I33" s="129"/>
      <c r="U33" s="90"/>
      <c r="V33" s="90"/>
      <c r="W33" s="90"/>
      <c r="X33" s="90"/>
      <c r="Y33" s="90"/>
      <c r="Z33" s="90"/>
      <c r="AA33" s="90"/>
      <c r="AB33" s="90"/>
      <c r="AC33" s="90"/>
      <c r="AD33" s="90"/>
      <c r="AE33" s="90"/>
      <c r="AF33" s="90"/>
    </row>
    <row r="34" spans="1:32" x14ac:dyDescent="0.25">
      <c r="A34" s="129" t="s">
        <v>129</v>
      </c>
      <c r="B34" s="129"/>
      <c r="C34" s="129"/>
      <c r="D34" s="139" t="s">
        <v>130</v>
      </c>
      <c r="E34" s="129"/>
      <c r="F34" s="129"/>
      <c r="G34" s="129"/>
      <c r="H34" s="129"/>
      <c r="I34" s="129"/>
      <c r="U34" s="90"/>
      <c r="V34" s="90"/>
      <c r="W34" s="90"/>
      <c r="X34" s="90"/>
      <c r="Y34" s="90"/>
      <c r="Z34" s="90"/>
      <c r="AA34" s="90"/>
      <c r="AB34" s="90"/>
      <c r="AC34" s="90"/>
      <c r="AD34" s="90"/>
      <c r="AE34" s="90"/>
      <c r="AF34" s="90"/>
    </row>
    <row r="35" spans="1:32" x14ac:dyDescent="0.25">
      <c r="A35" s="130" t="s">
        <v>689</v>
      </c>
      <c r="B35" s="129"/>
      <c r="C35" s="129"/>
      <c r="D35" s="129"/>
      <c r="E35" s="129"/>
      <c r="F35" s="129"/>
      <c r="G35" s="129"/>
      <c r="H35" s="129"/>
      <c r="I35" s="129"/>
      <c r="U35" s="90"/>
      <c r="V35" s="90"/>
      <c r="W35" s="90"/>
      <c r="X35" s="90"/>
      <c r="Y35" s="90"/>
      <c r="Z35" s="90"/>
      <c r="AA35" s="90"/>
      <c r="AB35" s="90"/>
      <c r="AC35" s="90"/>
      <c r="AD35" s="90"/>
      <c r="AE35" s="90"/>
      <c r="AF35" s="90"/>
    </row>
    <row r="36" spans="1:32" x14ac:dyDescent="0.25">
      <c r="A36" s="130" t="s">
        <v>690</v>
      </c>
      <c r="B36" s="129"/>
      <c r="C36" s="129"/>
      <c r="D36" s="129"/>
      <c r="E36" s="129"/>
      <c r="F36" s="129"/>
      <c r="G36" s="129"/>
      <c r="H36" s="129"/>
      <c r="I36" s="129"/>
      <c r="U36" s="90"/>
      <c r="V36" s="90"/>
      <c r="W36" s="90"/>
      <c r="X36" s="90"/>
      <c r="Y36" s="90"/>
      <c r="Z36" s="90"/>
      <c r="AA36" s="90"/>
      <c r="AB36" s="90"/>
      <c r="AC36" s="90"/>
      <c r="AD36" s="90"/>
      <c r="AE36" s="90"/>
      <c r="AF36" s="90"/>
    </row>
    <row r="37" spans="1:32" x14ac:dyDescent="0.25">
      <c r="A37" s="105"/>
      <c r="E37" s="97"/>
      <c r="U37" s="90"/>
      <c r="V37" s="90"/>
      <c r="W37" s="90"/>
      <c r="X37" s="90"/>
      <c r="Y37" s="90"/>
      <c r="Z37" s="90"/>
      <c r="AA37" s="90"/>
      <c r="AB37" s="90"/>
      <c r="AC37" s="90"/>
      <c r="AD37" s="90"/>
      <c r="AE37" s="90"/>
      <c r="AF37" s="90"/>
    </row>
    <row r="40" spans="1:32" x14ac:dyDescent="0.25">
      <c r="A40" s="2104"/>
      <c r="B40" s="2104"/>
      <c r="C40" s="2104"/>
      <c r="D40" s="2104"/>
      <c r="E40" s="2104"/>
      <c r="F40" s="2104"/>
      <c r="G40" s="2104"/>
      <c r="H40" s="2104"/>
      <c r="I40" s="2104"/>
    </row>
    <row r="41" spans="1:32" x14ac:dyDescent="0.25">
      <c r="A41" s="704"/>
      <c r="B41" s="135"/>
      <c r="C41" s="135"/>
      <c r="D41" s="135"/>
      <c r="E41" s="135"/>
      <c r="F41" s="135"/>
      <c r="G41" s="176"/>
      <c r="H41" s="396"/>
      <c r="I41" s="100"/>
    </row>
    <row r="42" spans="1:32" x14ac:dyDescent="0.25">
      <c r="A42" s="705"/>
      <c r="B42" s="90"/>
      <c r="C42" s="90"/>
      <c r="D42" s="90"/>
      <c r="E42" s="90"/>
      <c r="F42" s="90"/>
      <c r="G42" s="187"/>
      <c r="H42" s="407"/>
      <c r="I42" s="100"/>
    </row>
    <row r="43" spans="1:32" x14ac:dyDescent="0.25">
      <c r="A43" s="706"/>
      <c r="B43" s="2149"/>
      <c r="C43" s="2149"/>
      <c r="D43" s="2149"/>
      <c r="E43" s="2150"/>
      <c r="F43" s="2150"/>
      <c r="G43" s="2150"/>
      <c r="H43" s="707"/>
      <c r="I43" s="708"/>
    </row>
    <row r="44" spans="1:32" x14ac:dyDescent="0.25">
      <c r="A44" s="146"/>
      <c r="B44" s="2094"/>
      <c r="C44" s="2093"/>
      <c r="D44" s="2093"/>
      <c r="E44" s="2093"/>
      <c r="F44" s="90"/>
      <c r="G44" s="90"/>
      <c r="H44" s="90"/>
      <c r="I44" s="90"/>
    </row>
    <row r="45" spans="1:32" x14ac:dyDescent="0.25">
      <c r="A45" s="375"/>
      <c r="B45" s="166"/>
      <c r="C45" s="709"/>
      <c r="D45" s="150"/>
      <c r="E45" s="150"/>
      <c r="F45" s="150"/>
      <c r="G45" s="150"/>
      <c r="H45" s="150"/>
      <c r="I45" s="152"/>
    </row>
    <row r="46" spans="1:32" x14ac:dyDescent="0.25">
      <c r="A46" s="375"/>
      <c r="B46" s="147"/>
      <c r="C46" s="709"/>
      <c r="D46" s="150"/>
      <c r="E46" s="150"/>
      <c r="F46" s="150"/>
      <c r="G46" s="150"/>
      <c r="H46" s="150"/>
      <c r="I46" s="152"/>
    </row>
    <row r="47" spans="1:32" x14ac:dyDescent="0.25">
      <c r="A47" s="375"/>
      <c r="B47" s="147"/>
      <c r="C47" s="709"/>
      <c r="D47" s="150"/>
      <c r="E47" s="150"/>
      <c r="F47" s="150"/>
      <c r="G47" s="150"/>
      <c r="H47" s="150"/>
      <c r="I47" s="152"/>
    </row>
    <row r="48" spans="1:32" x14ac:dyDescent="0.25">
      <c r="A48" s="146"/>
      <c r="B48" s="2094"/>
      <c r="C48" s="2093"/>
      <c r="D48" s="2093"/>
      <c r="E48" s="2093"/>
      <c r="F48" s="150"/>
      <c r="G48" s="150"/>
      <c r="H48" s="150"/>
      <c r="I48" s="152"/>
    </row>
    <row r="49" spans="1:14" x14ac:dyDescent="0.25">
      <c r="A49" s="375"/>
      <c r="B49" s="710"/>
      <c r="C49" s="711"/>
      <c r="D49" s="150"/>
      <c r="E49" s="150"/>
      <c r="F49" s="150"/>
      <c r="G49" s="150"/>
      <c r="H49" s="150"/>
      <c r="I49" s="152"/>
    </row>
    <row r="50" spans="1:14" x14ac:dyDescent="0.25">
      <c r="A50" s="146"/>
      <c r="B50" s="2094"/>
      <c r="C50" s="2093"/>
      <c r="D50" s="2093"/>
      <c r="E50" s="2093"/>
      <c r="F50" s="150"/>
      <c r="G50" s="90"/>
      <c r="H50" s="90"/>
      <c r="I50" s="90"/>
    </row>
    <row r="51" spans="1:14" x14ac:dyDescent="0.25">
      <c r="A51" s="375"/>
      <c r="B51" s="147"/>
      <c r="C51" s="711"/>
      <c r="D51" s="150"/>
      <c r="E51" s="150"/>
      <c r="F51" s="150"/>
      <c r="G51" s="150"/>
      <c r="H51" s="150"/>
      <c r="I51" s="152"/>
    </row>
    <row r="52" spans="1:14" x14ac:dyDescent="0.25">
      <c r="A52" s="146"/>
      <c r="B52" s="2092"/>
      <c r="C52" s="2093"/>
      <c r="D52" s="2093"/>
      <c r="E52" s="2093"/>
      <c r="F52" s="90"/>
      <c r="G52" s="90"/>
      <c r="H52" s="90"/>
      <c r="I52" s="90"/>
      <c r="K52" s="448"/>
      <c r="L52" s="438"/>
      <c r="M52" s="438"/>
      <c r="N52" s="438"/>
    </row>
    <row r="53" spans="1:14" x14ac:dyDescent="0.25">
      <c r="A53" s="375"/>
      <c r="B53" s="147"/>
      <c r="C53" s="148"/>
      <c r="D53" s="90"/>
      <c r="E53" s="90"/>
      <c r="F53" s="150"/>
      <c r="G53" s="150"/>
      <c r="H53" s="150"/>
      <c r="I53" s="152"/>
    </row>
    <row r="54" spans="1:14" x14ac:dyDescent="0.25">
      <c r="A54" s="146"/>
      <c r="B54" s="2092"/>
      <c r="C54" s="2093"/>
      <c r="D54" s="2093"/>
      <c r="E54" s="2093"/>
      <c r="F54" s="90"/>
      <c r="G54" s="90"/>
      <c r="H54" s="90"/>
      <c r="I54" s="90"/>
    </row>
    <row r="55" spans="1:14" x14ac:dyDescent="0.25">
      <c r="A55" s="510"/>
      <c r="B55" s="147"/>
      <c r="C55" s="153"/>
      <c r="D55" s="150"/>
      <c r="E55" s="150"/>
      <c r="F55" s="150"/>
      <c r="G55" s="150"/>
      <c r="H55" s="150"/>
      <c r="I55" s="152"/>
    </row>
    <row r="56" spans="1:14" x14ac:dyDescent="0.25">
      <c r="A56" s="146"/>
      <c r="B56" s="2092"/>
      <c r="C56" s="2093"/>
      <c r="D56" s="2093"/>
      <c r="E56" s="2093"/>
      <c r="F56" s="90"/>
      <c r="G56" s="150"/>
      <c r="H56" s="90"/>
      <c r="I56" s="152"/>
    </row>
    <row r="57" spans="1:14" x14ac:dyDescent="0.25">
      <c r="A57" s="375"/>
      <c r="B57" s="90"/>
      <c r="C57" s="153"/>
      <c r="D57" s="150"/>
      <c r="E57" s="150"/>
      <c r="F57" s="150"/>
      <c r="G57" s="150"/>
      <c r="H57" s="150"/>
      <c r="I57" s="152"/>
    </row>
    <row r="58" spans="1:14" x14ac:dyDescent="0.25">
      <c r="A58" s="146"/>
      <c r="B58" s="2092"/>
      <c r="C58" s="2093"/>
      <c r="D58" s="2093"/>
      <c r="E58" s="2093"/>
      <c r="F58" s="150"/>
      <c r="G58" s="150"/>
      <c r="H58" s="150"/>
      <c r="I58" s="152"/>
    </row>
    <row r="59" spans="1:14" x14ac:dyDescent="0.25">
      <c r="A59" s="375"/>
      <c r="B59" s="380"/>
      <c r="C59" s="153"/>
      <c r="D59" s="150"/>
      <c r="E59" s="150"/>
      <c r="F59" s="150"/>
      <c r="G59" s="150"/>
      <c r="H59" s="150"/>
      <c r="I59" s="152"/>
    </row>
    <row r="60" spans="1:14" x14ac:dyDescent="0.25">
      <c r="A60" s="146"/>
      <c r="B60" s="2094"/>
      <c r="C60" s="2093"/>
      <c r="D60" s="2093"/>
      <c r="E60" s="2093"/>
      <c r="F60" s="150"/>
      <c r="G60" s="150"/>
      <c r="H60" s="150"/>
      <c r="I60" s="152"/>
    </row>
    <row r="61" spans="1:14" x14ac:dyDescent="0.25">
      <c r="A61" s="375"/>
      <c r="B61" s="2092"/>
      <c r="C61" s="2093"/>
      <c r="D61" s="148"/>
      <c r="E61" s="150"/>
      <c r="F61" s="150"/>
      <c r="G61" s="150"/>
      <c r="H61" s="90"/>
      <c r="I61" s="90"/>
    </row>
    <row r="62" spans="1:14" x14ac:dyDescent="0.25">
      <c r="A62" s="375"/>
      <c r="B62" s="2092"/>
      <c r="C62" s="2093"/>
      <c r="D62" s="153"/>
      <c r="E62" s="150"/>
      <c r="F62" s="150"/>
      <c r="G62" s="150"/>
      <c r="H62" s="90"/>
      <c r="I62" s="90"/>
    </row>
    <row r="63" spans="1:14" x14ac:dyDescent="0.25">
      <c r="A63" s="375"/>
      <c r="B63" s="2092"/>
      <c r="C63" s="2093"/>
      <c r="D63" s="153"/>
      <c r="E63" s="150"/>
      <c r="F63" s="150"/>
      <c r="G63" s="150"/>
      <c r="H63" s="90"/>
      <c r="I63" s="90"/>
    </row>
    <row r="64" spans="1:14" x14ac:dyDescent="0.25">
      <c r="A64" s="375"/>
      <c r="B64" s="147"/>
      <c r="C64" s="90"/>
      <c r="D64" s="90"/>
      <c r="E64" s="90"/>
      <c r="F64" s="192"/>
      <c r="G64" s="150"/>
      <c r="H64" s="150"/>
      <c r="I64" s="152"/>
    </row>
    <row r="65" spans="1:15" x14ac:dyDescent="0.25">
      <c r="A65" s="146"/>
      <c r="B65" s="2094"/>
      <c r="C65" s="2093"/>
      <c r="D65" s="2093"/>
      <c r="E65" s="2093"/>
      <c r="F65" s="90"/>
      <c r="G65" s="90"/>
      <c r="H65" s="90"/>
      <c r="I65" s="90"/>
    </row>
    <row r="66" spans="1:15" x14ac:dyDescent="0.25">
      <c r="A66" s="375"/>
      <c r="B66" s="2092"/>
      <c r="C66" s="2093"/>
      <c r="D66" s="150"/>
      <c r="E66" s="150"/>
      <c r="F66" s="150"/>
      <c r="G66" s="150"/>
      <c r="H66" s="150"/>
      <c r="I66" s="152"/>
    </row>
    <row r="67" spans="1:15" x14ac:dyDescent="0.25">
      <c r="A67" s="146"/>
      <c r="B67" s="2094"/>
      <c r="C67" s="2093"/>
      <c r="D67" s="2093"/>
      <c r="E67" s="2093"/>
      <c r="F67" s="90"/>
      <c r="G67" s="90"/>
      <c r="H67" s="90"/>
      <c r="I67" s="90"/>
    </row>
    <row r="68" spans="1:15" x14ac:dyDescent="0.25">
      <c r="A68" s="375"/>
      <c r="B68" s="2092"/>
      <c r="C68" s="2093"/>
      <c r="D68" s="153"/>
      <c r="E68" s="150"/>
      <c r="F68" s="150"/>
      <c r="G68" s="150"/>
      <c r="H68" s="90"/>
      <c r="I68" s="90"/>
    </row>
    <row r="69" spans="1:15" x14ac:dyDescent="0.25">
      <c r="A69" s="375"/>
      <c r="B69" s="2092"/>
      <c r="C69" s="2093"/>
      <c r="D69" s="153"/>
      <c r="E69" s="90"/>
      <c r="F69" s="150"/>
      <c r="G69" s="150"/>
      <c r="H69" s="712"/>
      <c r="I69" s="90"/>
    </row>
    <row r="70" spans="1:15" x14ac:dyDescent="0.25">
      <c r="A70" s="375"/>
      <c r="B70" s="2092"/>
      <c r="C70" s="2093"/>
      <c r="D70" s="153"/>
      <c r="E70" s="150"/>
      <c r="F70" s="150"/>
      <c r="G70" s="150"/>
      <c r="H70" s="90"/>
      <c r="I70" s="152"/>
    </row>
    <row r="71" spans="1:15" x14ac:dyDescent="0.25">
      <c r="A71" s="375"/>
      <c r="B71" s="166"/>
      <c r="C71" s="90"/>
      <c r="D71" s="90"/>
      <c r="E71" s="90"/>
      <c r="F71" s="192"/>
      <c r="G71" s="150"/>
      <c r="H71" s="150"/>
      <c r="I71" s="152"/>
    </row>
    <row r="72" spans="1:15" x14ac:dyDescent="0.25">
      <c r="A72" s="146"/>
      <c r="B72" s="2092"/>
      <c r="C72" s="2093"/>
      <c r="D72" s="2093"/>
      <c r="E72" s="2093"/>
      <c r="F72" s="90"/>
      <c r="G72" s="90"/>
      <c r="H72" s="90"/>
      <c r="I72" s="90"/>
      <c r="K72" s="146"/>
      <c r="L72" s="448"/>
      <c r="M72" s="438"/>
      <c r="N72" s="438"/>
      <c r="O72" s="438"/>
    </row>
    <row r="73" spans="1:15" x14ac:dyDescent="0.25">
      <c r="A73" s="375"/>
      <c r="B73" s="90"/>
      <c r="C73" s="90"/>
      <c r="D73" s="90"/>
      <c r="E73" s="90"/>
      <c r="F73" s="90"/>
      <c r="G73" s="713"/>
      <c r="H73" s="150"/>
      <c r="I73" s="152"/>
    </row>
    <row r="74" spans="1:15" x14ac:dyDescent="0.25">
      <c r="A74" s="146"/>
      <c r="B74" s="2092"/>
      <c r="C74" s="2093"/>
      <c r="D74" s="2093"/>
      <c r="E74" s="2093"/>
      <c r="F74" s="90"/>
      <c r="G74" s="90"/>
      <c r="H74" s="90"/>
      <c r="I74" s="90"/>
    </row>
    <row r="75" spans="1:15" x14ac:dyDescent="0.25">
      <c r="A75" s="375"/>
      <c r="B75" s="170"/>
      <c r="C75" s="90"/>
      <c r="D75" s="90"/>
      <c r="E75" s="90"/>
      <c r="F75" s="90"/>
      <c r="G75" s="90"/>
      <c r="H75" s="150"/>
      <c r="I75" s="236"/>
    </row>
    <row r="76" spans="1:15" x14ac:dyDescent="0.25">
      <c r="A76" s="146"/>
      <c r="B76" s="2092"/>
      <c r="C76" s="2093"/>
      <c r="D76" s="2093"/>
      <c r="E76" s="2093"/>
      <c r="F76" s="90"/>
      <c r="G76" s="90"/>
      <c r="H76" s="150"/>
      <c r="I76" s="152"/>
    </row>
    <row r="77" spans="1:15" x14ac:dyDescent="0.25">
      <c r="A77" s="375"/>
      <c r="B77" s="2145"/>
      <c r="C77" s="2146"/>
      <c r="D77" s="2146"/>
      <c r="E77" s="2147"/>
      <c r="F77" s="90"/>
      <c r="G77" s="90"/>
      <c r="H77" s="90"/>
      <c r="I77" s="714"/>
    </row>
    <row r="78" spans="1:15" x14ac:dyDescent="0.25">
      <c r="A78" s="146"/>
      <c r="B78" s="2092"/>
      <c r="C78" s="2093"/>
      <c r="D78" s="2093"/>
      <c r="E78" s="2093"/>
      <c r="F78" s="90"/>
      <c r="G78" s="90"/>
      <c r="H78" s="90"/>
      <c r="I78" s="152"/>
    </row>
    <row r="79" spans="1:15" x14ac:dyDescent="0.25">
      <c r="A79" s="375"/>
      <c r="B79" s="147"/>
      <c r="C79" s="90"/>
      <c r="D79" s="90"/>
      <c r="E79" s="90"/>
      <c r="F79" s="192"/>
      <c r="G79" s="150"/>
      <c r="H79" s="715"/>
      <c r="I79" s="1465"/>
    </row>
    <row r="80" spans="1:15" x14ac:dyDescent="0.25">
      <c r="A80" s="375"/>
      <c r="B80" s="147"/>
      <c r="C80" s="90"/>
      <c r="D80" s="90"/>
      <c r="E80" s="90"/>
      <c r="F80" s="90"/>
      <c r="G80" s="90"/>
      <c r="H80" s="90"/>
      <c r="I80" s="90"/>
    </row>
    <row r="81" spans="1:8" x14ac:dyDescent="0.25">
      <c r="B81" s="97"/>
      <c r="D81" s="97"/>
      <c r="E81" s="97"/>
      <c r="G81" s="110"/>
    </row>
    <row r="82" spans="1:8" x14ac:dyDescent="0.25">
      <c r="B82" s="97"/>
      <c r="D82" s="97"/>
      <c r="E82" s="97"/>
      <c r="G82" s="110"/>
    </row>
    <row r="84" spans="1:8" x14ac:dyDescent="0.25">
      <c r="A84" s="541"/>
      <c r="E84" s="717"/>
      <c r="F84" s="718"/>
      <c r="G84" s="717"/>
      <c r="H84" s="105"/>
    </row>
    <row r="85" spans="1:8" x14ac:dyDescent="0.25">
      <c r="A85" s="105"/>
    </row>
    <row r="87" spans="1:8" x14ac:dyDescent="0.25">
      <c r="A87" s="105"/>
    </row>
    <row r="90" spans="1:8" x14ac:dyDescent="0.25">
      <c r="A90" s="120"/>
      <c r="B90" s="105"/>
    </row>
    <row r="91" spans="1:8" x14ac:dyDescent="0.25">
      <c r="A91" s="120"/>
      <c r="H91" s="154"/>
    </row>
    <row r="92" spans="1:8" x14ac:dyDescent="0.25">
      <c r="A92" s="120"/>
      <c r="H92" s="154"/>
    </row>
    <row r="93" spans="1:8" x14ac:dyDescent="0.25">
      <c r="A93" s="120"/>
      <c r="H93" s="154"/>
    </row>
    <row r="94" spans="1:8" x14ac:dyDescent="0.25">
      <c r="A94" s="120"/>
      <c r="H94" s="154"/>
    </row>
    <row r="95" spans="1:8" x14ac:dyDescent="0.25">
      <c r="A95" s="120"/>
    </row>
    <row r="96" spans="1:8" x14ac:dyDescent="0.25">
      <c r="A96" s="120"/>
      <c r="H96" s="154"/>
    </row>
    <row r="97" spans="1:8" x14ac:dyDescent="0.25">
      <c r="A97" s="120"/>
    </row>
    <row r="98" spans="1:8" x14ac:dyDescent="0.25">
      <c r="A98" s="120"/>
      <c r="C98" s="105"/>
      <c r="H98" s="154"/>
    </row>
    <row r="99" spans="1:8" x14ac:dyDescent="0.25">
      <c r="A99" s="120"/>
    </row>
    <row r="100" spans="1:8" x14ac:dyDescent="0.25">
      <c r="A100" s="120"/>
      <c r="B100" s="105"/>
      <c r="H100" s="154"/>
    </row>
    <row r="101" spans="1:8" x14ac:dyDescent="0.25">
      <c r="A101" s="120"/>
    </row>
    <row r="102" spans="1:8" x14ac:dyDescent="0.25">
      <c r="A102" s="120"/>
      <c r="B102" s="541"/>
      <c r="H102" s="154"/>
    </row>
    <row r="103" spans="1:8" x14ac:dyDescent="0.25">
      <c r="A103" s="120"/>
      <c r="B103" s="154"/>
    </row>
    <row r="104" spans="1:8" x14ac:dyDescent="0.25">
      <c r="A104" s="120"/>
      <c r="B104" s="154"/>
    </row>
    <row r="105" spans="1:8" x14ac:dyDescent="0.25">
      <c r="A105" s="120"/>
      <c r="B105" s="105"/>
    </row>
    <row r="106" spans="1:8" x14ac:dyDescent="0.25">
      <c r="A106" s="120"/>
      <c r="B106" s="105"/>
      <c r="E106" s="717"/>
      <c r="F106" s="717"/>
      <c r="H106" s="154"/>
    </row>
    <row r="107" spans="1:8" x14ac:dyDescent="0.25">
      <c r="A107" s="120"/>
      <c r="B107" s="105"/>
      <c r="E107" s="717"/>
      <c r="H107" s="154"/>
    </row>
    <row r="108" spans="1:8" x14ac:dyDescent="0.25">
      <c r="A108" s="120"/>
    </row>
    <row r="109" spans="1:8" x14ac:dyDescent="0.25">
      <c r="A109" s="120"/>
      <c r="B109" s="105"/>
      <c r="H109" s="154"/>
    </row>
    <row r="110" spans="1:8" x14ac:dyDescent="0.25">
      <c r="A110" s="120"/>
      <c r="H110" s="154"/>
    </row>
    <row r="111" spans="1:8" x14ac:dyDescent="0.25">
      <c r="A111" s="120"/>
      <c r="B111" s="105"/>
      <c r="H111" s="154"/>
    </row>
    <row r="112" spans="1:8" x14ac:dyDescent="0.25">
      <c r="A112" s="120"/>
    </row>
    <row r="113" spans="1:8" x14ac:dyDescent="0.25">
      <c r="A113" s="120"/>
      <c r="H113" s="154"/>
    </row>
    <row r="114" spans="1:8" x14ac:dyDescent="0.25">
      <c r="A114" s="120"/>
    </row>
    <row r="115" spans="1:8" x14ac:dyDescent="0.25">
      <c r="A115" s="120"/>
    </row>
    <row r="117" spans="1:8" x14ac:dyDescent="0.25">
      <c r="A117" s="120"/>
    </row>
    <row r="119" spans="1:8" x14ac:dyDescent="0.25">
      <c r="A119" s="120"/>
      <c r="H119" s="154"/>
    </row>
    <row r="121" spans="1:8" x14ac:dyDescent="0.25">
      <c r="A121" s="120"/>
      <c r="B121" s="110"/>
    </row>
    <row r="122" spans="1:8" x14ac:dyDescent="0.25">
      <c r="B122" s="97"/>
    </row>
  </sheetData>
  <mergeCells count="28">
    <mergeCell ref="A2:I2"/>
    <mergeCell ref="A28:B28"/>
    <mergeCell ref="A29:B29"/>
    <mergeCell ref="A40:I40"/>
    <mergeCell ref="B43:D43"/>
    <mergeCell ref="E43:G43"/>
    <mergeCell ref="B65:E65"/>
    <mergeCell ref="B44:E44"/>
    <mergeCell ref="B48:E48"/>
    <mergeCell ref="B50:E50"/>
    <mergeCell ref="B52:E52"/>
    <mergeCell ref="B54:E54"/>
    <mergeCell ref="B56:E56"/>
    <mergeCell ref="B58:E58"/>
    <mergeCell ref="B60:E60"/>
    <mergeCell ref="B61:C61"/>
    <mergeCell ref="B62:C62"/>
    <mergeCell ref="B63:C63"/>
    <mergeCell ref="B74:E74"/>
    <mergeCell ref="B76:E76"/>
    <mergeCell ref="B77:E77"/>
    <mergeCell ref="B78:E78"/>
    <mergeCell ref="B66:C66"/>
    <mergeCell ref="B67:E67"/>
    <mergeCell ref="B68:C68"/>
    <mergeCell ref="B69:C69"/>
    <mergeCell ref="B70:C70"/>
    <mergeCell ref="B72:E72"/>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9"/>
  <sheetViews>
    <sheetView topLeftCell="A100" workbookViewId="0">
      <selection activeCell="I117" sqref="I117"/>
    </sheetView>
  </sheetViews>
  <sheetFormatPr defaultRowHeight="15" x14ac:dyDescent="0.25"/>
  <cols>
    <col min="1" max="1" width="9.140625" style="120"/>
  </cols>
  <sheetData>
    <row r="1" spans="1:18" x14ac:dyDescent="0.25">
      <c r="A1" s="2008" t="str">
        <f>Design!$B$1</f>
        <v>CPWS SCHEME TO                                                                                                       DISTRICT</v>
      </c>
      <c r="B1" s="2008"/>
      <c r="C1" s="2008"/>
      <c r="D1" s="2008"/>
      <c r="E1" s="2008"/>
      <c r="F1" s="2008"/>
      <c r="G1" s="2008"/>
      <c r="H1" s="2008"/>
      <c r="I1" s="2008"/>
    </row>
    <row r="2" spans="1:18" x14ac:dyDescent="0.25">
      <c r="G2" s="90"/>
      <c r="H2" s="90"/>
      <c r="I2" s="90"/>
    </row>
    <row r="3" spans="1:18" x14ac:dyDescent="0.25">
      <c r="E3" s="123">
        <f>+E27+2*K19+2*F5</f>
        <v>8.1</v>
      </c>
      <c r="G3" s="90"/>
      <c r="H3" s="90"/>
      <c r="I3" s="90"/>
    </row>
    <row r="4" spans="1:18" x14ac:dyDescent="0.25">
      <c r="A4" s="423" t="s">
        <v>221</v>
      </c>
      <c r="C4" s="1590">
        <v>0.15</v>
      </c>
      <c r="G4" s="90"/>
      <c r="H4" s="90"/>
      <c r="I4" s="90"/>
    </row>
    <row r="5" spans="1:18" x14ac:dyDescent="0.25">
      <c r="F5" s="1591">
        <v>0.6</v>
      </c>
      <c r="G5" s="90"/>
      <c r="H5" s="90"/>
      <c r="I5" s="90"/>
    </row>
    <row r="6" spans="1:18" x14ac:dyDescent="0.25">
      <c r="G6" s="90"/>
      <c r="H6" s="90"/>
      <c r="I6" s="90"/>
    </row>
    <row r="7" spans="1:18" x14ac:dyDescent="0.25">
      <c r="G7" s="90"/>
      <c r="H7" s="90"/>
      <c r="I7" s="90"/>
    </row>
    <row r="8" spans="1:18" x14ac:dyDescent="0.25">
      <c r="G8" s="90"/>
      <c r="H8" s="90"/>
      <c r="I8" s="90"/>
    </row>
    <row r="9" spans="1:18" x14ac:dyDescent="0.25">
      <c r="A9" s="423" t="s">
        <v>1851</v>
      </c>
      <c r="C9" s="1590">
        <v>0.15</v>
      </c>
      <c r="F9" s="1592">
        <v>4.5</v>
      </c>
      <c r="G9" s="90"/>
      <c r="H9" s="90"/>
      <c r="I9" s="90"/>
    </row>
    <row r="10" spans="1:18" x14ac:dyDescent="0.25">
      <c r="G10" s="90"/>
      <c r="H10" s="90"/>
      <c r="I10" s="90"/>
    </row>
    <row r="15" spans="1:18" x14ac:dyDescent="0.25">
      <c r="A15" s="687"/>
      <c r="C15" s="102"/>
      <c r="D15" s="119"/>
      <c r="E15" s="102">
        <f>+D17+2*K23+2*F17</f>
        <v>8.7000000000000011</v>
      </c>
      <c r="F15" s="119"/>
    </row>
    <row r="16" spans="1:18" x14ac:dyDescent="0.25">
      <c r="A16" s="423" t="s">
        <v>221</v>
      </c>
      <c r="C16" s="1593">
        <v>0.2</v>
      </c>
      <c r="D16" s="119"/>
      <c r="E16" s="119"/>
      <c r="F16" s="119"/>
      <c r="J16" s="119"/>
      <c r="K16" s="119"/>
      <c r="N16" s="90"/>
      <c r="O16" s="90"/>
      <c r="P16" s="90"/>
      <c r="Q16" s="90"/>
      <c r="R16" s="90"/>
    </row>
    <row r="17" spans="1:18" x14ac:dyDescent="0.25">
      <c r="D17" s="2159">
        <f>+E27+2*K19-2*K23</f>
        <v>6.3500000000000005</v>
      </c>
      <c r="E17" s="2159"/>
      <c r="F17" s="1591">
        <v>0.9</v>
      </c>
      <c r="H17" s="305"/>
      <c r="I17" s="305"/>
      <c r="J17" s="119"/>
      <c r="K17" s="389"/>
      <c r="M17" s="154"/>
      <c r="N17" s="90"/>
      <c r="O17" s="83"/>
      <c r="P17" s="1594"/>
      <c r="Q17" s="83"/>
      <c r="R17" s="90"/>
    </row>
    <row r="18" spans="1:18" x14ac:dyDescent="0.25">
      <c r="A18" s="423"/>
      <c r="C18" s="1595"/>
      <c r="D18" s="119"/>
      <c r="E18" s="119"/>
      <c r="F18" s="389"/>
      <c r="G18" s="102">
        <v>3.34</v>
      </c>
      <c r="H18" s="1596"/>
      <c r="I18" s="2160"/>
      <c r="J18" s="2161"/>
      <c r="K18" s="91" t="s">
        <v>245</v>
      </c>
      <c r="L18" s="204" t="s">
        <v>1761</v>
      </c>
      <c r="M18" s="254" t="s">
        <v>1852</v>
      </c>
      <c r="P18" s="83"/>
      <c r="Q18" s="1597"/>
      <c r="R18" s="90"/>
    </row>
    <row r="19" spans="1:18" x14ac:dyDescent="0.25">
      <c r="D19" s="119"/>
      <c r="E19" s="119"/>
      <c r="F19" s="119"/>
      <c r="G19" s="119"/>
      <c r="H19" s="1598"/>
      <c r="I19" s="2157" t="s">
        <v>1853</v>
      </c>
      <c r="J19" s="2158"/>
      <c r="K19" s="1599">
        <v>0.45</v>
      </c>
      <c r="L19" s="1600">
        <v>5</v>
      </c>
      <c r="M19" s="1601" t="s">
        <v>1854</v>
      </c>
      <c r="P19" s="83"/>
      <c r="Q19" s="1597"/>
      <c r="R19" s="90"/>
    </row>
    <row r="20" spans="1:18" x14ac:dyDescent="0.25">
      <c r="C20" s="119"/>
      <c r="D20" s="119"/>
      <c r="E20" s="119"/>
      <c r="G20" s="1602">
        <v>5</v>
      </c>
      <c r="H20" s="1596"/>
      <c r="I20" s="2157" t="s">
        <v>1855</v>
      </c>
      <c r="J20" s="2158"/>
      <c r="K20" s="1603">
        <v>0.4</v>
      </c>
      <c r="L20" s="1600">
        <v>5</v>
      </c>
      <c r="M20" s="1601" t="s">
        <v>1856</v>
      </c>
      <c r="P20" s="83"/>
      <c r="Q20" s="1597"/>
      <c r="R20" s="90"/>
    </row>
    <row r="21" spans="1:18" x14ac:dyDescent="0.25">
      <c r="A21" s="423" t="s">
        <v>1857</v>
      </c>
      <c r="C21" s="1595">
        <v>18.34</v>
      </c>
      <c r="D21" s="119"/>
      <c r="E21" s="119"/>
      <c r="F21" s="119"/>
      <c r="H21" s="305"/>
      <c r="I21" s="2157" t="s">
        <v>1858</v>
      </c>
      <c r="J21" s="2158"/>
      <c r="K21" s="1603">
        <v>0.35</v>
      </c>
      <c r="L21" s="1600">
        <v>5</v>
      </c>
      <c r="M21" s="1601" t="s">
        <v>1856</v>
      </c>
      <c r="P21" s="83"/>
      <c r="Q21" s="1597"/>
      <c r="R21" s="90"/>
    </row>
    <row r="22" spans="1:18" x14ac:dyDescent="0.25">
      <c r="C22" s="119"/>
      <c r="D22" s="119"/>
      <c r="E22" s="119"/>
      <c r="F22" s="119"/>
      <c r="G22" s="1602">
        <v>5</v>
      </c>
      <c r="H22" s="1596"/>
      <c r="I22" s="2157" t="s">
        <v>1859</v>
      </c>
      <c r="J22" s="2158"/>
      <c r="K22" s="1603">
        <v>0.3</v>
      </c>
      <c r="L22" s="1600">
        <v>5</v>
      </c>
      <c r="M22" s="1601" t="s">
        <v>1856</v>
      </c>
      <c r="P22" s="90"/>
      <c r="Q22" s="90"/>
      <c r="R22" s="90"/>
    </row>
    <row r="23" spans="1:18" x14ac:dyDescent="0.25">
      <c r="A23" s="423" t="s">
        <v>273</v>
      </c>
      <c r="C23" s="1595">
        <v>5</v>
      </c>
      <c r="D23" s="119"/>
      <c r="F23" s="119"/>
      <c r="G23" s="119"/>
      <c r="H23" s="1598"/>
      <c r="I23" s="2157" t="s">
        <v>1860</v>
      </c>
      <c r="J23" s="2158"/>
      <c r="K23" s="1604">
        <v>0.27500000000000002</v>
      </c>
      <c r="L23" s="1600">
        <v>3.34</v>
      </c>
      <c r="M23" s="1601" t="s">
        <v>1856</v>
      </c>
    </row>
    <row r="24" spans="1:18" x14ac:dyDescent="0.25">
      <c r="C24" s="119"/>
      <c r="D24" s="119"/>
      <c r="E24" s="119"/>
      <c r="F24" s="119"/>
      <c r="G24" s="119"/>
      <c r="H24" s="1598"/>
      <c r="I24" s="305"/>
    </row>
    <row r="25" spans="1:18" x14ac:dyDescent="0.25">
      <c r="C25" s="119"/>
      <c r="D25" s="119"/>
      <c r="E25" s="119"/>
      <c r="F25" s="119"/>
      <c r="G25" s="119"/>
      <c r="H25" s="1598"/>
      <c r="I25" s="305"/>
    </row>
    <row r="26" spans="1:18" x14ac:dyDescent="0.25">
      <c r="D26" s="119"/>
      <c r="E26" s="119"/>
      <c r="F26" s="119"/>
      <c r="G26" s="1602">
        <v>5</v>
      </c>
      <c r="H26" s="1605"/>
      <c r="I26" s="1606"/>
    </row>
    <row r="27" spans="1:18" x14ac:dyDescent="0.25">
      <c r="A27" s="120" t="s">
        <v>1861</v>
      </c>
      <c r="C27" s="119"/>
      <c r="D27" s="119"/>
      <c r="E27" s="1607">
        <v>6</v>
      </c>
      <c r="F27" s="1592"/>
      <c r="G27" s="119"/>
      <c r="H27" s="1598"/>
      <c r="I27" s="305"/>
    </row>
    <row r="28" spans="1:18" x14ac:dyDescent="0.25">
      <c r="A28" s="120" t="s">
        <v>1760</v>
      </c>
      <c r="B28" s="1608">
        <v>1.65</v>
      </c>
      <c r="C28" s="114" t="s">
        <v>122</v>
      </c>
      <c r="D28" s="119"/>
      <c r="E28" s="119"/>
      <c r="F28" s="119"/>
      <c r="G28" s="119"/>
      <c r="H28" s="1598"/>
      <c r="I28" s="305"/>
    </row>
    <row r="29" spans="1:18" x14ac:dyDescent="0.25">
      <c r="A29" s="120" t="s">
        <v>1761</v>
      </c>
      <c r="B29" s="1608">
        <v>0.4</v>
      </c>
      <c r="C29" s="1609"/>
      <c r="D29" s="114" t="s">
        <v>122</v>
      </c>
      <c r="E29" s="119"/>
      <c r="F29" s="119"/>
      <c r="G29" s="119"/>
      <c r="H29" s="119"/>
    </row>
    <row r="30" spans="1:18" x14ac:dyDescent="0.25">
      <c r="C30" s="1607"/>
      <c r="D30" s="119"/>
      <c r="E30" s="119"/>
      <c r="F30" s="119"/>
      <c r="G30" s="119"/>
      <c r="H30" s="119"/>
    </row>
    <row r="31" spans="1:18" x14ac:dyDescent="0.25">
      <c r="C31" s="119"/>
      <c r="D31" s="114"/>
      <c r="E31" s="119"/>
      <c r="F31" s="119"/>
      <c r="G31" s="114"/>
      <c r="H31" s="119"/>
    </row>
    <row r="32" spans="1:18" x14ac:dyDescent="0.25">
      <c r="C32" s="119"/>
      <c r="D32" s="119"/>
      <c r="E32" s="119"/>
      <c r="F32" s="389"/>
      <c r="G32" s="114"/>
      <c r="H32" s="119"/>
    </row>
    <row r="33" spans="1:11" x14ac:dyDescent="0.25">
      <c r="C33" s="1610" t="s">
        <v>1862</v>
      </c>
      <c r="D33" s="1610"/>
      <c r="E33" s="1610"/>
      <c r="F33" s="1610"/>
      <c r="G33" s="113"/>
      <c r="H33" s="113"/>
    </row>
    <row r="34" spans="1:11" x14ac:dyDescent="0.25">
      <c r="C34" s="113"/>
      <c r="D34" s="113"/>
      <c r="E34" s="113"/>
      <c r="F34" s="113"/>
      <c r="G34" s="113"/>
      <c r="H34" s="113"/>
    </row>
    <row r="41" spans="1:11" x14ac:dyDescent="0.25">
      <c r="A41" s="515" t="s">
        <v>127</v>
      </c>
      <c r="B41" s="129"/>
      <c r="C41" s="129" t="s">
        <v>1863</v>
      </c>
      <c r="D41" s="129"/>
      <c r="E41" s="129"/>
      <c r="F41" s="324"/>
    </row>
    <row r="42" spans="1:11" x14ac:dyDescent="0.25">
      <c r="A42" s="515" t="s">
        <v>129</v>
      </c>
      <c r="B42" s="129"/>
      <c r="C42" s="129" t="s">
        <v>130</v>
      </c>
      <c r="D42" s="129"/>
      <c r="E42" s="129"/>
      <c r="F42" s="324"/>
    </row>
    <row r="43" spans="1:11" x14ac:dyDescent="0.25">
      <c r="A43" s="515" t="s">
        <v>131</v>
      </c>
      <c r="B43" s="129"/>
      <c r="C43" s="129"/>
      <c r="D43" s="129"/>
      <c r="E43" s="129"/>
      <c r="F43" s="324"/>
      <c r="J43" s="1611" t="s">
        <v>1864</v>
      </c>
      <c r="K43" s="1612">
        <v>1</v>
      </c>
    </row>
    <row r="44" spans="1:11" x14ac:dyDescent="0.25">
      <c r="A44" s="515" t="s">
        <v>279</v>
      </c>
      <c r="B44" s="129"/>
      <c r="C44" s="129"/>
      <c r="D44" s="129"/>
      <c r="E44" s="129"/>
      <c r="F44" s="324"/>
    </row>
    <row r="46" spans="1:11" x14ac:dyDescent="0.25">
      <c r="A46" s="2148" t="s">
        <v>1865</v>
      </c>
      <c r="B46" s="2148"/>
      <c r="C46" s="2148"/>
      <c r="D46" s="2148"/>
      <c r="E46" s="2148"/>
      <c r="F46" s="2148"/>
      <c r="G46" s="2148"/>
      <c r="H46" s="2148"/>
      <c r="I46" s="2148"/>
    </row>
    <row r="47" spans="1:11" x14ac:dyDescent="0.25">
      <c r="A47" s="515"/>
      <c r="B47" s="139" t="s">
        <v>1866</v>
      </c>
      <c r="C47" s="129"/>
      <c r="D47" s="129"/>
      <c r="E47" s="129"/>
      <c r="F47" s="129"/>
      <c r="G47" s="139"/>
      <c r="H47" s="129"/>
      <c r="I47" s="129"/>
    </row>
    <row r="48" spans="1:11" x14ac:dyDescent="0.25">
      <c r="A48" s="529"/>
      <c r="B48" s="2126" t="str">
        <f>Design!B1</f>
        <v>CPWS SCHEME TO                                                                                                       DISTRICT</v>
      </c>
      <c r="C48" s="2126"/>
      <c r="D48" s="2126"/>
      <c r="E48" s="2126"/>
      <c r="F48" s="2126"/>
      <c r="G48" s="2126"/>
      <c r="H48" s="1613" t="s">
        <v>282</v>
      </c>
      <c r="I48" s="549" t="e">
        <f>I118</f>
        <v>#REF!</v>
      </c>
    </row>
    <row r="49" spans="1:9" ht="15.75" x14ac:dyDescent="0.25">
      <c r="A49" s="1614" t="s">
        <v>137</v>
      </c>
      <c r="C49" s="677" t="s">
        <v>284</v>
      </c>
      <c r="D49" s="1615"/>
      <c r="E49" s="1616"/>
      <c r="F49" s="677"/>
      <c r="G49" s="1614" t="s">
        <v>139</v>
      </c>
      <c r="H49" s="1614" t="s">
        <v>140</v>
      </c>
      <c r="I49" s="811" t="s">
        <v>141</v>
      </c>
    </row>
    <row r="50" spans="1:9" ht="15.75" x14ac:dyDescent="0.25">
      <c r="A50" s="1614">
        <v>1</v>
      </c>
      <c r="B50" s="2094" t="s">
        <v>142</v>
      </c>
      <c r="C50" s="2093"/>
      <c r="D50" s="2093"/>
      <c r="E50" s="2093"/>
      <c r="F50" s="677"/>
      <c r="G50" s="1614"/>
      <c r="H50" s="1614"/>
      <c r="I50" s="811"/>
    </row>
    <row r="51" spans="1:9" x14ac:dyDescent="0.25">
      <c r="A51" s="1614"/>
      <c r="B51" s="90"/>
      <c r="C51" s="153" t="s">
        <v>147</v>
      </c>
      <c r="D51">
        <f>+(E27+K19*2)+B28+2*1.2</f>
        <v>10.950000000000001</v>
      </c>
      <c r="E51" s="1617">
        <f>+D51</f>
        <v>10.950000000000001</v>
      </c>
      <c r="F51" s="1618">
        <f>RAM!D160</f>
        <v>3</v>
      </c>
      <c r="G51" s="295">
        <f>+PI()*(D51)*E51*F51</f>
        <v>1130.0544394411509</v>
      </c>
      <c r="H51" s="150">
        <f>Data!$I$12</f>
        <v>158.80000000000001</v>
      </c>
      <c r="I51" s="129">
        <f>+ROUND(H51*G51,0)</f>
        <v>179453</v>
      </c>
    </row>
    <row r="52" spans="1:9" x14ac:dyDescent="0.25">
      <c r="A52" s="1614"/>
      <c r="B52" s="90"/>
      <c r="C52" s="153" t="s">
        <v>147</v>
      </c>
      <c r="D52">
        <f>+D51</f>
        <v>10.950000000000001</v>
      </c>
      <c r="E52" s="1617">
        <f>+D52</f>
        <v>10.950000000000001</v>
      </c>
      <c r="F52" s="1618">
        <f>RAM!D161</f>
        <v>2.7</v>
      </c>
      <c r="G52" s="295">
        <f>+PI()*(D52)*E52*F52</f>
        <v>1017.0489954970358</v>
      </c>
      <c r="H52" s="150">
        <f>Data!$I$18</f>
        <v>204.2</v>
      </c>
      <c r="I52" s="129">
        <f>+ROUND(H52*G52,0)</f>
        <v>207681</v>
      </c>
    </row>
    <row r="53" spans="1:9" x14ac:dyDescent="0.25">
      <c r="A53" s="1614"/>
      <c r="B53" s="90"/>
      <c r="C53" s="153" t="s">
        <v>147</v>
      </c>
      <c r="D53">
        <f>+D52</f>
        <v>10.950000000000001</v>
      </c>
      <c r="E53" s="1617">
        <f>+D53</f>
        <v>10.950000000000001</v>
      </c>
      <c r="F53" s="1618">
        <f>RAM!D162</f>
        <v>0</v>
      </c>
      <c r="G53" s="295">
        <f>+PI()*(D53)*E53*F53</f>
        <v>0</v>
      </c>
      <c r="H53" s="295">
        <f>Data!I23</f>
        <v>272.2</v>
      </c>
      <c r="I53" s="129">
        <f>+ROUND(H53*G53,0)</f>
        <v>0</v>
      </c>
    </row>
    <row r="54" spans="1:9" x14ac:dyDescent="0.25">
      <c r="A54" s="1614">
        <v>2</v>
      </c>
      <c r="B54" s="2094" t="s">
        <v>144</v>
      </c>
      <c r="C54" s="2093"/>
      <c r="D54" s="2093"/>
      <c r="E54" s="2093"/>
      <c r="F54" s="90"/>
      <c r="G54" s="149"/>
      <c r="H54" s="149"/>
      <c r="I54" s="489"/>
    </row>
    <row r="55" spans="1:9" x14ac:dyDescent="0.25">
      <c r="A55" s="1614"/>
      <c r="B55" s="710"/>
      <c r="C55" s="711" t="s">
        <v>143</v>
      </c>
      <c r="D55" s="446">
        <f>+D51</f>
        <v>10.950000000000001</v>
      </c>
      <c r="E55" s="155">
        <f>+E51</f>
        <v>10.950000000000001</v>
      </c>
      <c r="F55" s="1619">
        <v>0.3</v>
      </c>
      <c r="G55" s="155">
        <f>+(3.14285714285714)*D55*E55*F55*0.25</f>
        <v>28.262732142857121</v>
      </c>
      <c r="H55" s="150">
        <f>Data!$I$44</f>
        <v>4470.5</v>
      </c>
      <c r="I55" s="489">
        <f>+ROUND(H55*G55,0)</f>
        <v>126349</v>
      </c>
    </row>
    <row r="56" spans="1:9" x14ac:dyDescent="0.25">
      <c r="A56" s="146">
        <v>3</v>
      </c>
      <c r="B56" s="2092" t="s">
        <v>1867</v>
      </c>
      <c r="C56" s="2092"/>
      <c r="D56" s="2092"/>
      <c r="E56" s="2092"/>
      <c r="G56" s="295"/>
      <c r="H56" s="295"/>
      <c r="I56" s="129"/>
    </row>
    <row r="57" spans="1:9" x14ac:dyDescent="0.25">
      <c r="B57" s="334" t="s">
        <v>1868</v>
      </c>
      <c r="C57" s="153" t="s">
        <v>147</v>
      </c>
      <c r="D57" s="154">
        <f>+E27+B28</f>
        <v>7.65</v>
      </c>
      <c r="E57" s="1618">
        <f>+B28</f>
        <v>1.65</v>
      </c>
      <c r="F57" s="1618">
        <f>+B29</f>
        <v>0.4</v>
      </c>
      <c r="G57" s="295">
        <f>+PI()*(D57)*E57*F57</f>
        <v>15.861901307974865</v>
      </c>
      <c r="H57" s="295">
        <f>Data!I736</f>
        <v>13310.559090909092</v>
      </c>
      <c r="I57" s="129">
        <f>+ROUND(H57*G57,0)</f>
        <v>211131</v>
      </c>
    </row>
    <row r="58" spans="1:9" x14ac:dyDescent="0.25">
      <c r="B58" s="105"/>
      <c r="D58" s="1618"/>
      <c r="E58" s="1618"/>
      <c r="F58" s="686"/>
      <c r="G58" s="149"/>
      <c r="I58" s="129"/>
    </row>
    <row r="59" spans="1:9" x14ac:dyDescent="0.25">
      <c r="A59" s="146">
        <v>4</v>
      </c>
      <c r="B59" s="2092" t="s">
        <v>1869</v>
      </c>
      <c r="C59" s="2093"/>
      <c r="D59" s="2093"/>
      <c r="E59" s="2093"/>
      <c r="G59" s="154"/>
      <c r="H59" s="154"/>
      <c r="I59" s="378"/>
    </row>
    <row r="60" spans="1:9" x14ac:dyDescent="0.25">
      <c r="B60" s="1620" t="s">
        <v>247</v>
      </c>
      <c r="C60" s="153" t="s">
        <v>147</v>
      </c>
      <c r="D60" s="295">
        <f>+(D17+2*K23)-K19</f>
        <v>6.45</v>
      </c>
      <c r="E60" s="295">
        <f>+IF(C23&gt;4,4,C23)</f>
        <v>4</v>
      </c>
      <c r="F60" s="295">
        <f>+K19</f>
        <v>0.45</v>
      </c>
      <c r="G60" s="129">
        <f>+ROUND((22/7)*D60*E60*F60,2)</f>
        <v>36.49</v>
      </c>
      <c r="H60" s="295">
        <f>Data!I744</f>
        <v>11665.183583333332</v>
      </c>
      <c r="I60" s="129">
        <f>+ROUND(H60*G60,0)</f>
        <v>425663</v>
      </c>
    </row>
    <row r="61" spans="1:9" x14ac:dyDescent="0.25">
      <c r="B61" s="1621" t="s">
        <v>1870</v>
      </c>
      <c r="C61" s="153" t="s">
        <v>147</v>
      </c>
      <c r="D61" s="295">
        <f>+D60</f>
        <v>6.45</v>
      </c>
      <c r="E61" s="295">
        <f>+C23-E60</f>
        <v>1</v>
      </c>
      <c r="F61" s="295">
        <f>+F60</f>
        <v>0.45</v>
      </c>
      <c r="G61" s="129">
        <f>+ROUND((22/7)*D61*E61*F61,2)</f>
        <v>9.1199999999999992</v>
      </c>
      <c r="H61" s="295">
        <f>Data!I747</f>
        <v>14736.019888333332</v>
      </c>
      <c r="I61" s="129">
        <f>+ROUND(H61*G61,0)</f>
        <v>134393</v>
      </c>
    </row>
    <row r="62" spans="1:9" x14ac:dyDescent="0.25">
      <c r="B62" s="1621"/>
      <c r="C62" s="153"/>
      <c r="D62" s="295"/>
      <c r="E62" s="295"/>
      <c r="F62" s="295"/>
      <c r="G62" s="129"/>
      <c r="H62" s="295"/>
      <c r="I62" s="129"/>
    </row>
    <row r="63" spans="1:9" x14ac:dyDescent="0.25">
      <c r="B63" s="1622" t="s">
        <v>1871</v>
      </c>
      <c r="C63" s="153"/>
      <c r="D63" s="295"/>
      <c r="E63" s="295"/>
      <c r="F63" s="295"/>
      <c r="G63" s="129"/>
      <c r="H63" s="295"/>
      <c r="I63" s="129"/>
    </row>
    <row r="64" spans="1:9" x14ac:dyDescent="0.25">
      <c r="B64" s="1620" t="s">
        <v>249</v>
      </c>
      <c r="C64" s="153" t="s">
        <v>147</v>
      </c>
      <c r="D64" s="295">
        <f>+(D17+K23*2)-K20</f>
        <v>6.5</v>
      </c>
      <c r="E64" s="295">
        <f>+IF(L20&gt;=5,5,L20)</f>
        <v>5</v>
      </c>
      <c r="F64" s="295">
        <f>+K20</f>
        <v>0.4</v>
      </c>
      <c r="G64" s="129">
        <f>+ROUND((22/7)*D64*E64*F64,2)</f>
        <v>40.86</v>
      </c>
      <c r="H64" s="295">
        <f>Data!I776</f>
        <v>12034.66903125</v>
      </c>
      <c r="I64" s="129">
        <f>+ROUND(H64*G64,0)</f>
        <v>491737</v>
      </c>
    </row>
    <row r="65" spans="1:10" x14ac:dyDescent="0.25">
      <c r="B65" s="1621" t="s">
        <v>1872</v>
      </c>
      <c r="C65" s="153" t="s">
        <v>147</v>
      </c>
      <c r="D65" s="295">
        <f>+D64</f>
        <v>6.5</v>
      </c>
      <c r="E65" s="295">
        <f>+L20-E64</f>
        <v>0</v>
      </c>
      <c r="F65" s="295">
        <f>+F64</f>
        <v>0.4</v>
      </c>
      <c r="G65" s="129">
        <f>+ROUND((22/7)*D65*E65*F65,2)</f>
        <v>0</v>
      </c>
      <c r="H65" s="295">
        <f>Data!I777</f>
        <v>15465.625336249999</v>
      </c>
      <c r="I65" s="129">
        <f>+ROUND(H65*G65,0)</f>
        <v>0</v>
      </c>
    </row>
    <row r="66" spans="1:10" x14ac:dyDescent="0.25">
      <c r="B66" s="1620"/>
      <c r="C66" s="153"/>
      <c r="D66" s="295"/>
      <c r="E66" s="295"/>
      <c r="F66" s="295"/>
      <c r="G66" s="129"/>
      <c r="H66" s="295"/>
      <c r="I66" s="129"/>
    </row>
    <row r="67" spans="1:10" x14ac:dyDescent="0.25">
      <c r="B67" s="1620" t="s">
        <v>251</v>
      </c>
      <c r="C67" s="153" t="s">
        <v>147</v>
      </c>
      <c r="D67" s="295">
        <f>+(D17+K23*2)-K21</f>
        <v>6.5500000000000007</v>
      </c>
      <c r="E67" s="295">
        <f>+IF(L21&gt;3,3,L21)</f>
        <v>3</v>
      </c>
      <c r="F67" s="295">
        <f>+K21</f>
        <v>0.35</v>
      </c>
      <c r="G67" s="129">
        <f>+ROUND((22/7)*D67*E67*F67,2)</f>
        <v>21.62</v>
      </c>
      <c r="H67" s="295" t="e">
        <f>Data!#REF!</f>
        <v>#REF!</v>
      </c>
      <c r="I67" s="129" t="e">
        <f>+ROUND(H67*G67,0)</f>
        <v>#REF!</v>
      </c>
    </row>
    <row r="68" spans="1:10" x14ac:dyDescent="0.25">
      <c r="B68" s="1621" t="s">
        <v>1873</v>
      </c>
      <c r="C68" s="153" t="s">
        <v>147</v>
      </c>
      <c r="D68" s="295">
        <f>+D67</f>
        <v>6.5500000000000007</v>
      </c>
      <c r="E68" s="295">
        <f>+(G20-E67)</f>
        <v>2</v>
      </c>
      <c r="F68" s="295">
        <f>+F67</f>
        <v>0.35</v>
      </c>
      <c r="G68" s="129">
        <f>+ROUND((22/7)*D68*E68*F68,2)</f>
        <v>14.41</v>
      </c>
      <c r="H68" s="295" t="e">
        <f>Data!#REF!</f>
        <v>#REF!</v>
      </c>
      <c r="I68" s="129" t="e">
        <f>+ROUND(H68*G68,0)</f>
        <v>#REF!</v>
      </c>
    </row>
    <row r="69" spans="1:10" x14ac:dyDescent="0.25">
      <c r="B69" s="1621"/>
      <c r="C69" s="153"/>
      <c r="D69" s="295"/>
      <c r="E69" s="295"/>
      <c r="F69" s="295"/>
      <c r="G69" s="129"/>
      <c r="H69" s="295"/>
      <c r="I69" s="129"/>
    </row>
    <row r="70" spans="1:10" x14ac:dyDescent="0.25">
      <c r="B70" s="1620" t="s">
        <v>253</v>
      </c>
      <c r="C70" s="153" t="s">
        <v>147</v>
      </c>
      <c r="D70" s="295">
        <f>+((D17+K23*2)-K22)</f>
        <v>6.6000000000000005</v>
      </c>
      <c r="E70" s="295">
        <f>+IF(L22&gt;3,3,L22)</f>
        <v>3</v>
      </c>
      <c r="F70" s="295">
        <f>+K22</f>
        <v>0.3</v>
      </c>
      <c r="G70" s="129">
        <f>+ROUND((22/7)*D70*E70*F70,2)</f>
        <v>18.670000000000002</v>
      </c>
      <c r="H70" s="295" t="e">
        <f>Data!#REF!</f>
        <v>#REF!</v>
      </c>
      <c r="I70" s="129" t="e">
        <f>+ROUND(H70*G70,0)</f>
        <v>#REF!</v>
      </c>
    </row>
    <row r="71" spans="1:10" x14ac:dyDescent="0.25">
      <c r="B71" s="1621" t="s">
        <v>1874</v>
      </c>
      <c r="C71" s="153" t="s">
        <v>147</v>
      </c>
      <c r="D71" s="295">
        <f>+D70</f>
        <v>6.6000000000000005</v>
      </c>
      <c r="E71" s="295">
        <f>+L22-E70</f>
        <v>2</v>
      </c>
      <c r="F71" s="295">
        <f>+F70</f>
        <v>0.3</v>
      </c>
      <c r="G71" s="129">
        <f>+ROUND((22/7)*D71*E71*F71,2)</f>
        <v>12.45</v>
      </c>
      <c r="H71" s="295" t="e">
        <f>Data!#REF!</f>
        <v>#REF!</v>
      </c>
      <c r="I71" s="129" t="e">
        <f>+ROUND(H71*G71,0)</f>
        <v>#REF!</v>
      </c>
    </row>
    <row r="72" spans="1:10" x14ac:dyDescent="0.25">
      <c r="B72" s="1621"/>
      <c r="C72" s="153"/>
      <c r="D72" s="295"/>
      <c r="E72" s="295"/>
      <c r="F72" s="295"/>
      <c r="G72" s="129"/>
      <c r="H72" s="295"/>
      <c r="I72" s="129"/>
    </row>
    <row r="73" spans="1:10" x14ac:dyDescent="0.25">
      <c r="B73" s="1620" t="s">
        <v>255</v>
      </c>
      <c r="C73" s="153" t="s">
        <v>147</v>
      </c>
      <c r="D73" s="295">
        <f>+((D17+K23*2)-K23)</f>
        <v>6.625</v>
      </c>
      <c r="E73" s="295">
        <f>+IF(L23&gt;3,3,L23)</f>
        <v>3</v>
      </c>
      <c r="F73" s="937">
        <f>+K23</f>
        <v>0.27500000000000002</v>
      </c>
      <c r="G73" s="129">
        <f>+ROUND((22/7)*D73*E73*F73,2)</f>
        <v>17.18</v>
      </c>
      <c r="H73" s="295">
        <f>Data!I957</f>
        <v>14459.665009090908</v>
      </c>
      <c r="I73" s="129">
        <f>+ROUND(H73*G73,0)</f>
        <v>248417</v>
      </c>
    </row>
    <row r="74" spans="1:10" x14ac:dyDescent="0.25">
      <c r="B74" s="1621" t="s">
        <v>1874</v>
      </c>
      <c r="C74" s="153" t="s">
        <v>147</v>
      </c>
      <c r="D74" s="295">
        <f>+D73</f>
        <v>6.625</v>
      </c>
      <c r="E74" s="295">
        <f>+L23-E73</f>
        <v>0.33999999999999986</v>
      </c>
      <c r="F74" s="937">
        <f>+F73</f>
        <v>0.27500000000000002</v>
      </c>
      <c r="G74" s="129">
        <f>+ROUND((22/7)*D74*E74*F74,2)</f>
        <v>1.95</v>
      </c>
      <c r="H74" s="295">
        <f>Data!I958</f>
        <v>14612.821314090908</v>
      </c>
      <c r="I74" s="129">
        <f>+ROUND(H74*G74,0)</f>
        <v>28495</v>
      </c>
    </row>
    <row r="75" spans="1:10" x14ac:dyDescent="0.25">
      <c r="B75" s="1621"/>
      <c r="C75" s="153"/>
      <c r="D75" s="295"/>
      <c r="E75" s="295"/>
      <c r="F75" s="295"/>
      <c r="G75" s="129"/>
      <c r="H75" s="295"/>
      <c r="I75" s="129"/>
    </row>
    <row r="76" spans="1:10" x14ac:dyDescent="0.25">
      <c r="A76" s="120">
        <v>5</v>
      </c>
      <c r="B76" s="391" t="s">
        <v>1875</v>
      </c>
      <c r="C76" s="153"/>
      <c r="D76" s="295"/>
      <c r="E76" s="295"/>
      <c r="F76" s="295"/>
      <c r="G76" s="129"/>
      <c r="H76" s="295"/>
      <c r="I76" s="129"/>
    </row>
    <row r="77" spans="1:10" x14ac:dyDescent="0.25">
      <c r="B77" s="1623" t="s">
        <v>242</v>
      </c>
      <c r="C77" s="1624">
        <v>450</v>
      </c>
      <c r="D77">
        <f>4*J77</f>
        <v>4</v>
      </c>
      <c r="E77" s="295">
        <f>+D17*0.85*J77</f>
        <v>5.3975</v>
      </c>
      <c r="F77" s="295">
        <f>+RAM!I159*J77</f>
        <v>72.400000000000006</v>
      </c>
      <c r="G77" s="129">
        <f>+F77*E77*D77*J77</f>
        <v>1563.1160000000002</v>
      </c>
      <c r="H77" s="295">
        <v>56053.05</v>
      </c>
      <c r="I77" s="129">
        <f>+ROUND(H77*G77/1000,0)*J77*K43</f>
        <v>87617</v>
      </c>
      <c r="J77" s="1625">
        <v>1</v>
      </c>
    </row>
    <row r="78" spans="1:10" ht="23.25" x14ac:dyDescent="0.25">
      <c r="B78" s="1626" t="s">
        <v>1876</v>
      </c>
      <c r="C78" s="1627">
        <v>6</v>
      </c>
      <c r="D78" s="960">
        <f>4*J78</f>
        <v>4</v>
      </c>
      <c r="E78" s="295">
        <f>1.2*J78</f>
        <v>1.2</v>
      </c>
      <c r="F78" s="295">
        <f>RAM!L163*2*J78</f>
        <v>18.399999999999999</v>
      </c>
      <c r="G78" s="129">
        <f>+F78*E78*D78*E77*J78</f>
        <v>476.70719999999994</v>
      </c>
      <c r="H78" s="295">
        <v>56053.05</v>
      </c>
      <c r="I78" s="129">
        <f>+ROUND(H78*G78/1000,0)*J78*K43</f>
        <v>26721</v>
      </c>
      <c r="J78" s="1625">
        <v>1</v>
      </c>
    </row>
    <row r="79" spans="1:10" x14ac:dyDescent="0.25">
      <c r="B79" s="1626" t="s">
        <v>1877</v>
      </c>
      <c r="C79" s="1627">
        <v>6</v>
      </c>
      <c r="D79" s="153" t="s">
        <v>147</v>
      </c>
      <c r="E79" s="295">
        <f>+D17*J79</f>
        <v>6.3500000000000005</v>
      </c>
      <c r="F79" s="295">
        <f>+E79*J79</f>
        <v>6.3500000000000005</v>
      </c>
      <c r="G79" s="129">
        <f>+ROUND(PI()*(E79^2)*0.25*15.8,2)*J79</f>
        <v>500.37</v>
      </c>
      <c r="H79" s="295">
        <v>61253.05</v>
      </c>
      <c r="I79" s="129">
        <f>+ROUND(H79*G79/1000,0)*J79*K43</f>
        <v>30649</v>
      </c>
      <c r="J79" s="1625">
        <v>1</v>
      </c>
    </row>
    <row r="80" spans="1:10" x14ac:dyDescent="0.25">
      <c r="A80" s="146">
        <v>5</v>
      </c>
      <c r="B80" s="2092" t="str">
        <f>+CONCATENATE("M 30 grade concrete using 20 mm HBG metal including cost and conveyance of all the materials,but excluding the cost of the steel etc complete for Floor Slab with ",RAM!E170," thickness")</f>
        <v>M 30 grade concrete using 20 mm HBG metal including cost and conveyance of all the materials,but excluding the cost of the steel etc complete for Floor Slab with 0.2 thickness</v>
      </c>
      <c r="C80" s="2093"/>
      <c r="D80" s="2093"/>
      <c r="E80" s="2093"/>
    </row>
    <row r="81" spans="1:10" x14ac:dyDescent="0.25">
      <c r="B81" s="105"/>
      <c r="D81" s="148" t="s">
        <v>143</v>
      </c>
      <c r="E81" s="295">
        <f>+E15*J81</f>
        <v>8.7000000000000011</v>
      </c>
      <c r="F81" s="295">
        <f>+E81*J81</f>
        <v>8.7000000000000011</v>
      </c>
      <c r="G81" s="129">
        <f>+ROUND((22/28)*(E81^2),2)*J81</f>
        <v>59.47</v>
      </c>
      <c r="H81" s="295">
        <f>Data!I986</f>
        <v>18211.8</v>
      </c>
      <c r="I81" s="129">
        <f>+ROUND(H81*G81*0.1,0)*J81</f>
        <v>108306</v>
      </c>
      <c r="J81" s="918">
        <v>1</v>
      </c>
    </row>
    <row r="82" spans="1:10" x14ac:dyDescent="0.25">
      <c r="A82" s="146">
        <v>6</v>
      </c>
      <c r="B82" s="2092" t="s">
        <v>1878</v>
      </c>
      <c r="C82" s="2093"/>
      <c r="D82" s="2093"/>
      <c r="E82" s="2093"/>
    </row>
    <row r="83" spans="1:10" x14ac:dyDescent="0.25">
      <c r="C83" s="153" t="s">
        <v>147</v>
      </c>
      <c r="D83" s="295">
        <f>+(D17+K23*2)-C9</f>
        <v>6.75</v>
      </c>
      <c r="E83" s="295">
        <f>+IF(F9&gt;3,3,F9)</f>
        <v>3</v>
      </c>
      <c r="F83" s="937">
        <f>+C9</f>
        <v>0.15</v>
      </c>
      <c r="G83" s="129">
        <f>+ROUND((22/7)*D83*E83*F83,2)</f>
        <v>9.5500000000000007</v>
      </c>
    </row>
    <row r="84" spans="1:10" x14ac:dyDescent="0.25">
      <c r="B84" t="s">
        <v>299</v>
      </c>
      <c r="C84" s="1578">
        <v>1</v>
      </c>
      <c r="D84" s="522">
        <v>1.2</v>
      </c>
      <c r="E84" s="522">
        <v>2.1</v>
      </c>
      <c r="F84" s="290">
        <f>+F83</f>
        <v>0.15</v>
      </c>
      <c r="G84">
        <f>-D84*E84*F84*C84</f>
        <v>-0.378</v>
      </c>
      <c r="H84" s="295"/>
      <c r="I84" s="129"/>
    </row>
    <row r="85" spans="1:10" x14ac:dyDescent="0.25">
      <c r="B85" t="s">
        <v>300</v>
      </c>
      <c r="C85" s="1578">
        <v>2</v>
      </c>
      <c r="D85" s="522">
        <v>0.9</v>
      </c>
      <c r="E85" s="522">
        <v>1.2</v>
      </c>
      <c r="F85" s="290">
        <f>+F84</f>
        <v>0.15</v>
      </c>
      <c r="G85">
        <f>-D85*E85*F85*C85</f>
        <v>-0.32400000000000001</v>
      </c>
      <c r="H85" s="295"/>
      <c r="I85" s="129"/>
    </row>
    <row r="86" spans="1:10" x14ac:dyDescent="0.25">
      <c r="C86" s="153"/>
      <c r="D86" s="295"/>
      <c r="E86" s="295"/>
      <c r="F86" s="1617" t="s">
        <v>1879</v>
      </c>
      <c r="G86" s="702">
        <f>SUM(G83:G85)</f>
        <v>8.8480000000000008</v>
      </c>
      <c r="H86" s="295">
        <f>Data!I967</f>
        <v>18222.203550000002</v>
      </c>
      <c r="I86" s="129">
        <f>+ROUND(H86*G86,0)*K43</f>
        <v>161230</v>
      </c>
    </row>
    <row r="87" spans="1:10" x14ac:dyDescent="0.25">
      <c r="C87" s="153"/>
      <c r="D87" s="295"/>
      <c r="E87" s="295"/>
      <c r="F87" s="1617"/>
      <c r="G87" s="155"/>
      <c r="H87" s="295"/>
      <c r="I87" s="129"/>
    </row>
    <row r="88" spans="1:10" x14ac:dyDescent="0.25">
      <c r="B88" t="s">
        <v>1880</v>
      </c>
      <c r="C88" s="153" t="s">
        <v>147</v>
      </c>
      <c r="D88" s="295">
        <f>+D83</f>
        <v>6.75</v>
      </c>
      <c r="E88" s="295">
        <f>+F9-E83</f>
        <v>1.5</v>
      </c>
      <c r="F88" s="937">
        <f>+F83</f>
        <v>0.15</v>
      </c>
      <c r="G88" s="129">
        <f>+ROUND((22/7)*D88*E88*F88,2)</f>
        <v>4.7699999999999996</v>
      </c>
      <c r="H88" s="295">
        <f>Data!I968</f>
        <v>18375.359855000002</v>
      </c>
      <c r="I88" s="129">
        <f>+ROUND(H88*G88,0)*K43</f>
        <v>87650</v>
      </c>
    </row>
    <row r="89" spans="1:10" x14ac:dyDescent="0.25">
      <c r="C89" s="153"/>
      <c r="D89" s="295"/>
      <c r="E89" s="295"/>
      <c r="F89" s="1617"/>
      <c r="G89" s="155"/>
      <c r="H89" s="295"/>
      <c r="I89" s="129"/>
    </row>
    <row r="90" spans="1:10" x14ac:dyDescent="0.25">
      <c r="A90" s="146">
        <v>7</v>
      </c>
      <c r="B90" s="2092" t="str">
        <f>+CONCATENATE("M 30 grade concrete using 20 mm HBG metal including cost and conveyance of all the materials,but excluding the cost of the steel etc complete for Top Slab with ",RAM!E174," thickness")</f>
        <v>M 30 grade concrete using 20 mm HBG metal including cost and conveyance of all the materials,but excluding the cost of the steel etc complete for Top Slab with 0.15 thickness</v>
      </c>
      <c r="C90" s="2093"/>
      <c r="D90" s="2093"/>
      <c r="E90" s="2093"/>
    </row>
    <row r="91" spans="1:10" x14ac:dyDescent="0.25">
      <c r="D91" s="153" t="s">
        <v>147</v>
      </c>
      <c r="E91" s="295">
        <f>E3</f>
        <v>8.1</v>
      </c>
      <c r="F91" s="295">
        <f>+E91</f>
        <v>8.1</v>
      </c>
      <c r="G91" s="129">
        <f>+ROUND((22/28)*(E91^2),2)</f>
        <v>51.55</v>
      </c>
      <c r="H91" s="154">
        <f>Data!I977</f>
        <v>16201.4</v>
      </c>
      <c r="I91">
        <f>+ROUND(G91*H91*0.1,0)*K43</f>
        <v>83518</v>
      </c>
    </row>
    <row r="92" spans="1:10" x14ac:dyDescent="0.25">
      <c r="A92" s="146">
        <v>8</v>
      </c>
      <c r="B92" s="2094" t="s">
        <v>151</v>
      </c>
      <c r="C92" s="2093"/>
      <c r="D92" s="2093"/>
      <c r="E92" s="2093"/>
      <c r="F92" s="154"/>
      <c r="H92" s="154"/>
    </row>
    <row r="93" spans="1:10" x14ac:dyDescent="0.25">
      <c r="B93" s="156" t="s">
        <v>1881</v>
      </c>
      <c r="D93" s="153" t="s">
        <v>147</v>
      </c>
      <c r="E93" s="157">
        <f>+E3-F5*2-C9*2</f>
        <v>6.6</v>
      </c>
      <c r="F93" s="157">
        <f>+F9</f>
        <v>4.5</v>
      </c>
      <c r="G93" s="149">
        <f>+(22/7)*E93*F93</f>
        <v>93.342857142857127</v>
      </c>
      <c r="H93" s="149"/>
      <c r="I93" s="151"/>
    </row>
    <row r="94" spans="1:10" x14ac:dyDescent="0.25">
      <c r="B94" s="156" t="s">
        <v>1882</v>
      </c>
      <c r="D94" s="153" t="s">
        <v>147</v>
      </c>
      <c r="E94" s="157">
        <f>+E93+2*C9</f>
        <v>6.8999999999999995</v>
      </c>
      <c r="F94" s="157">
        <f>+F93</f>
        <v>4.5</v>
      </c>
      <c r="G94" s="149">
        <f>+(22/7)*E94*F94</f>
        <v>97.585714285714275</v>
      </c>
      <c r="H94" s="149"/>
      <c r="I94" s="151"/>
    </row>
    <row r="95" spans="1:10" x14ac:dyDescent="0.25">
      <c r="B95" s="129" t="s">
        <v>299</v>
      </c>
      <c r="D95" s="1185">
        <v>1</v>
      </c>
      <c r="E95" s="1628">
        <v>1.2</v>
      </c>
      <c r="F95" s="1628">
        <v>2.1</v>
      </c>
      <c r="G95" s="155">
        <f>+F95*E95*D95</f>
        <v>2.52</v>
      </c>
      <c r="H95" s="155"/>
      <c r="I95" s="155"/>
    </row>
    <row r="96" spans="1:10" x14ac:dyDescent="0.25">
      <c r="B96" s="129" t="s">
        <v>300</v>
      </c>
      <c r="D96" s="1185">
        <v>2</v>
      </c>
      <c r="E96" s="1628">
        <v>0.9</v>
      </c>
      <c r="F96" s="1628">
        <v>1.2</v>
      </c>
      <c r="G96" s="155">
        <f>+F96*E96*D96</f>
        <v>2.16</v>
      </c>
      <c r="H96" s="155"/>
      <c r="I96" s="155"/>
    </row>
    <row r="97" spans="1:9" x14ac:dyDescent="0.25">
      <c r="B97" s="401"/>
      <c r="D97" s="155"/>
      <c r="E97" s="155"/>
      <c r="F97" s="1629" t="s">
        <v>23</v>
      </c>
      <c r="G97" s="149">
        <f>+G93+G94-G95-G96</f>
        <v>186.24857142857138</v>
      </c>
      <c r="H97" s="150">
        <f>Data!I670</f>
        <v>1491.9</v>
      </c>
      <c r="I97" s="151">
        <f>+ROUND(H97*G97*0.1,0)*K43</f>
        <v>27786</v>
      </c>
    </row>
    <row r="98" spans="1:9" x14ac:dyDescent="0.25">
      <c r="A98" s="146">
        <v>9</v>
      </c>
      <c r="B98" s="2094" t="s">
        <v>1883</v>
      </c>
      <c r="C98" s="2093"/>
      <c r="D98" s="2093"/>
      <c r="E98" s="2093"/>
    </row>
    <row r="99" spans="1:9" x14ac:dyDescent="0.25">
      <c r="B99" s="129" t="s">
        <v>1884</v>
      </c>
      <c r="C99" s="1630"/>
      <c r="D99" s="153" t="s">
        <v>147</v>
      </c>
      <c r="E99" s="295">
        <f>+E15</f>
        <v>8.7000000000000011</v>
      </c>
      <c r="F99" s="295">
        <f>+E15</f>
        <v>8.7000000000000011</v>
      </c>
      <c r="G99" s="295">
        <f>+(22/28)*(E15^2)</f>
        <v>59.470714285714294</v>
      </c>
      <c r="H99" s="129"/>
      <c r="I99" s="129"/>
    </row>
    <row r="100" spans="1:9" x14ac:dyDescent="0.25">
      <c r="B100" s="129" t="s">
        <v>579</v>
      </c>
      <c r="C100" s="1630"/>
      <c r="D100" s="153" t="s">
        <v>147</v>
      </c>
      <c r="E100" s="295">
        <f>+E3</f>
        <v>8.1</v>
      </c>
      <c r="F100" s="295">
        <f>+E100</f>
        <v>8.1</v>
      </c>
      <c r="G100" s="295">
        <f>+(22/28)*(E100^2)</f>
        <v>51.550714285714285</v>
      </c>
      <c r="H100" s="295"/>
      <c r="I100" s="129"/>
    </row>
    <row r="101" spans="1:9" x14ac:dyDescent="0.25">
      <c r="B101" s="1630"/>
      <c r="C101" s="1630"/>
      <c r="D101" s="1630"/>
      <c r="E101" s="129"/>
      <c r="F101" s="129"/>
      <c r="G101" s="537">
        <f>SUM(G99:G100)</f>
        <v>111.02142857142857</v>
      </c>
      <c r="H101" s="150">
        <f>Data!I233</f>
        <v>2436.1999999999998</v>
      </c>
      <c r="I101" s="129">
        <f>+ROUND(H101*G101*0.1,0)*K43</f>
        <v>27047</v>
      </c>
    </row>
    <row r="102" spans="1:9" x14ac:dyDescent="0.25">
      <c r="A102" s="146">
        <v>10</v>
      </c>
      <c r="B102" s="2094" t="s">
        <v>306</v>
      </c>
      <c r="C102" s="2093"/>
      <c r="D102" s="2093"/>
      <c r="E102" s="2093"/>
    </row>
    <row r="103" spans="1:9" x14ac:dyDescent="0.25">
      <c r="B103" s="129" t="s">
        <v>1885</v>
      </c>
      <c r="G103" s="149">
        <f>+G97</f>
        <v>186.24857142857138</v>
      </c>
      <c r="H103" s="150">
        <f>Data!I315</f>
        <v>1202.7</v>
      </c>
      <c r="I103" s="129">
        <f>+ROUND(H103*G103*0.1,0)*K43</f>
        <v>22400</v>
      </c>
    </row>
    <row r="104" spans="1:9" x14ac:dyDescent="0.25">
      <c r="A104" s="146">
        <v>11</v>
      </c>
      <c r="B104" s="2092" t="s">
        <v>1886</v>
      </c>
      <c r="C104" s="2093"/>
      <c r="D104" s="2093"/>
      <c r="E104" s="2093"/>
      <c r="F104" s="1630"/>
    </row>
    <row r="105" spans="1:9" x14ac:dyDescent="0.25">
      <c r="B105" s="1630"/>
      <c r="C105" s="1630"/>
      <c r="D105" s="1630"/>
      <c r="E105" s="1630"/>
      <c r="F105" s="1185" t="s">
        <v>309</v>
      </c>
      <c r="G105" s="150"/>
      <c r="H105" s="90"/>
      <c r="I105" s="83">
        <f>3500*K43</f>
        <v>3500</v>
      </c>
    </row>
    <row r="106" spans="1:9" x14ac:dyDescent="0.25">
      <c r="A106" s="146">
        <v>12</v>
      </c>
      <c r="B106" s="2092" t="s">
        <v>1887</v>
      </c>
      <c r="C106" s="2093"/>
      <c r="D106" s="2093"/>
      <c r="E106" s="2093"/>
      <c r="F106" s="1630"/>
    </row>
    <row r="107" spans="1:9" x14ac:dyDescent="0.25">
      <c r="F107" s="1185" t="s">
        <v>100</v>
      </c>
      <c r="G107" s="150"/>
      <c r="H107" s="90"/>
      <c r="I107" s="83">
        <f>2500*2*K43</f>
        <v>5000</v>
      </c>
    </row>
    <row r="108" spans="1:9" x14ac:dyDescent="0.25">
      <c r="A108" s="146">
        <v>13</v>
      </c>
      <c r="B108" s="2092" t="s">
        <v>388</v>
      </c>
      <c r="C108" s="2093"/>
      <c r="D108" s="2093"/>
      <c r="E108" s="2093"/>
      <c r="F108" s="290"/>
    </row>
    <row r="109" spans="1:9" x14ac:dyDescent="0.25">
      <c r="B109" s="156" t="s">
        <v>1888</v>
      </c>
      <c r="C109" s="155"/>
      <c r="D109" s="155"/>
      <c r="E109" s="155"/>
      <c r="F109" s="451" t="s">
        <v>1693</v>
      </c>
      <c r="G109" s="155">
        <v>4.7300000000000004</v>
      </c>
      <c r="H109" s="155"/>
      <c r="I109" s="155"/>
    </row>
    <row r="110" spans="1:9" x14ac:dyDescent="0.25">
      <c r="B110" s="156" t="s">
        <v>1889</v>
      </c>
      <c r="C110" s="155"/>
      <c r="D110" s="155"/>
      <c r="E110" s="155"/>
      <c r="F110" s="451" t="s">
        <v>100</v>
      </c>
      <c r="G110" s="155">
        <v>5.94</v>
      </c>
      <c r="H110" s="155"/>
      <c r="I110" s="155"/>
    </row>
    <row r="111" spans="1:9" x14ac:dyDescent="0.25">
      <c r="B111" s="156"/>
      <c r="C111" s="155"/>
      <c r="D111" s="155"/>
      <c r="E111" s="155"/>
      <c r="F111" s="155"/>
      <c r="G111" s="702">
        <v>10.67</v>
      </c>
      <c r="H111" s="149">
        <v>414.95000000000005</v>
      </c>
      <c r="I111" s="151">
        <f>+ROUND(H111*G111*0.1,0)*K43</f>
        <v>443</v>
      </c>
    </row>
    <row r="112" spans="1:9" x14ac:dyDescent="0.25">
      <c r="A112" s="146">
        <v>14</v>
      </c>
      <c r="B112" s="2094" t="s">
        <v>151</v>
      </c>
      <c r="C112" s="2093"/>
      <c r="D112" s="2093"/>
      <c r="E112" s="2093"/>
      <c r="F112" s="90"/>
      <c r="G112" s="90"/>
      <c r="H112" s="90"/>
      <c r="I112" s="90"/>
    </row>
    <row r="113" spans="1:10" x14ac:dyDescent="0.25">
      <c r="B113" s="156" t="s">
        <v>1890</v>
      </c>
      <c r="D113" s="153" t="s">
        <v>147</v>
      </c>
      <c r="E113" s="295">
        <f>+C23</f>
        <v>5</v>
      </c>
      <c r="F113" s="129">
        <f>+E27+2*H26</f>
        <v>6</v>
      </c>
      <c r="G113" s="295">
        <f>+(22/7)*F113*C23</f>
        <v>94.285714285714292</v>
      </c>
      <c r="H113" s="150">
        <f>Data!I670</f>
        <v>1491.9</v>
      </c>
      <c r="I113" s="129">
        <f>+ROUND(H113*G113*0.1,0)*K43</f>
        <v>14066</v>
      </c>
    </row>
    <row r="114" spans="1:10" x14ac:dyDescent="0.25">
      <c r="A114" s="146">
        <v>15</v>
      </c>
      <c r="B114" s="2092" t="s">
        <v>156</v>
      </c>
      <c r="C114" s="2093"/>
      <c r="D114" s="2093"/>
      <c r="E114" s="2093"/>
    </row>
    <row r="115" spans="1:10" x14ac:dyDescent="0.25">
      <c r="G115" s="960">
        <f>+(G57+G60+G61+G64+G65+G67+G68+G70+G71+G73+G74+G81*C16*K43+G86*K43+G88*K43+G91*C4*K43)*0.125</f>
        <v>27.732050163496858</v>
      </c>
      <c r="H115" s="403">
        <f>Data!H327</f>
        <v>60670.400000000001</v>
      </c>
      <c r="I115" s="129">
        <f>+ROUND(H115*G115,0)</f>
        <v>1682515</v>
      </c>
    </row>
    <row r="116" spans="1:10" x14ac:dyDescent="0.25">
      <c r="B116" s="130" t="s">
        <v>1891</v>
      </c>
      <c r="H116" s="129"/>
      <c r="I116" s="317">
        <v>3364</v>
      </c>
    </row>
    <row r="117" spans="1:10" x14ac:dyDescent="0.25">
      <c r="B117" s="536" t="s">
        <v>563</v>
      </c>
      <c r="H117" s="129"/>
      <c r="I117" s="557" t="e">
        <f>+I118-SUM(I56:I116)</f>
        <v>#REF!</v>
      </c>
    </row>
    <row r="118" spans="1:10" x14ac:dyDescent="0.25">
      <c r="H118" s="1631" t="s">
        <v>23</v>
      </c>
      <c r="I118" s="1589" t="e">
        <f>((INT(SUM(I56:I116)*0.00004))*25000)+25000</f>
        <v>#REF!</v>
      </c>
      <c r="J118" s="378"/>
    </row>
    <row r="119" spans="1:10" x14ac:dyDescent="0.25">
      <c r="B119" s="147"/>
      <c r="C119" s="90"/>
      <c r="D119" s="90"/>
      <c r="E119" s="90"/>
      <c r="F119" s="90"/>
      <c r="G119" s="90"/>
      <c r="H119" s="90"/>
      <c r="I119" s="90"/>
    </row>
    <row r="120" spans="1:10" x14ac:dyDescent="0.25">
      <c r="B120" s="105"/>
    </row>
    <row r="121" spans="1:10" x14ac:dyDescent="0.25">
      <c r="B121" s="105"/>
    </row>
    <row r="122" spans="1:10" x14ac:dyDescent="0.25">
      <c r="B122" s="550"/>
    </row>
    <row r="124" spans="1:10" x14ac:dyDescent="0.25">
      <c r="B124" s="90"/>
      <c r="C124" s="90"/>
      <c r="D124" s="147"/>
      <c r="E124" s="150"/>
      <c r="F124" s="150"/>
      <c r="G124" s="150"/>
      <c r="H124" s="90"/>
      <c r="I124" s="90"/>
    </row>
    <row r="125" spans="1:10" x14ac:dyDescent="0.25">
      <c r="B125" s="90"/>
      <c r="C125" s="90"/>
      <c r="D125" s="147"/>
      <c r="E125" s="150"/>
      <c r="F125" s="150"/>
      <c r="G125" s="150"/>
      <c r="H125" s="90"/>
      <c r="I125" s="90"/>
    </row>
    <row r="126" spans="1:10" x14ac:dyDescent="0.25">
      <c r="B126" s="90"/>
      <c r="C126" s="90"/>
      <c r="E126" s="150"/>
    </row>
    <row r="127" spans="1:10" x14ac:dyDescent="0.25">
      <c r="B127" s="90"/>
      <c r="C127" s="90"/>
      <c r="D127" s="147"/>
      <c r="E127" s="150"/>
      <c r="F127" s="150"/>
      <c r="G127" s="150"/>
      <c r="H127" s="90"/>
      <c r="I127" s="90"/>
    </row>
    <row r="128" spans="1:10" x14ac:dyDescent="0.25">
      <c r="B128" s="90"/>
      <c r="C128" s="90"/>
      <c r="D128" s="147"/>
      <c r="E128" s="150"/>
    </row>
    <row r="129" spans="2:9" x14ac:dyDescent="0.25">
      <c r="B129" s="90"/>
      <c r="C129" s="90"/>
      <c r="D129" s="147"/>
      <c r="E129" s="150"/>
    </row>
    <row r="130" spans="2:9" x14ac:dyDescent="0.25">
      <c r="B130" s="90"/>
      <c r="C130" s="90"/>
      <c r="D130" s="147"/>
      <c r="E130" s="150"/>
      <c r="F130" s="1597"/>
      <c r="G130" s="150"/>
      <c r="H130" s="90"/>
      <c r="I130" s="377"/>
    </row>
    <row r="131" spans="2:9" x14ac:dyDescent="0.25">
      <c r="B131" s="147"/>
      <c r="C131" s="90"/>
      <c r="D131" s="147"/>
      <c r="E131" s="150"/>
      <c r="F131" s="150"/>
      <c r="G131" s="150"/>
      <c r="H131" s="90"/>
      <c r="I131" s="377"/>
    </row>
    <row r="132" spans="2:9" x14ac:dyDescent="0.25">
      <c r="B132" s="166"/>
      <c r="C132" s="90"/>
      <c r="D132" s="90"/>
      <c r="E132" s="90"/>
      <c r="F132" s="90"/>
      <c r="G132" s="90"/>
      <c r="H132" s="90"/>
      <c r="I132" s="90"/>
    </row>
    <row r="136" spans="2:9" x14ac:dyDescent="0.25">
      <c r="B136" s="166"/>
      <c r="C136" s="90"/>
      <c r="D136" s="90"/>
      <c r="E136" s="90"/>
      <c r="F136" s="90"/>
      <c r="G136" s="90"/>
      <c r="H136" s="150"/>
      <c r="I136" s="152"/>
    </row>
    <row r="137" spans="2:9" x14ac:dyDescent="0.25">
      <c r="B137" s="105"/>
    </row>
    <row r="139" spans="2:9" x14ac:dyDescent="0.25">
      <c r="B139" s="166"/>
      <c r="C139" s="90"/>
      <c r="D139" s="90"/>
      <c r="E139" s="90"/>
      <c r="F139" s="90"/>
      <c r="G139" s="90"/>
      <c r="H139" s="150"/>
      <c r="I139" s="152"/>
    </row>
    <row r="140" spans="2:9" x14ac:dyDescent="0.25">
      <c r="B140" s="105"/>
    </row>
    <row r="142" spans="2:9" x14ac:dyDescent="0.25">
      <c r="B142" s="166"/>
      <c r="C142" s="90"/>
      <c r="D142" s="90"/>
      <c r="E142" s="90"/>
      <c r="F142" s="90"/>
      <c r="G142" s="90"/>
      <c r="H142" s="150"/>
      <c r="I142" s="152"/>
    </row>
    <row r="143" spans="2:9" x14ac:dyDescent="0.25">
      <c r="B143" s="105"/>
    </row>
    <row r="144" spans="2:9" x14ac:dyDescent="0.25">
      <c r="B144" s="550"/>
    </row>
    <row r="145" spans="2:9" x14ac:dyDescent="0.25">
      <c r="H145" s="97"/>
    </row>
    <row r="146" spans="2:9" x14ac:dyDescent="0.25">
      <c r="B146" s="90"/>
      <c r="C146" s="90"/>
      <c r="D146" s="90"/>
      <c r="E146" s="90"/>
      <c r="F146" s="90"/>
      <c r="G146" s="90"/>
      <c r="H146" s="90"/>
      <c r="I146" s="90"/>
    </row>
    <row r="147" spans="2:9" x14ac:dyDescent="0.25">
      <c r="B147" s="90"/>
      <c r="C147" s="90"/>
      <c r="D147" s="90"/>
      <c r="E147" s="90"/>
      <c r="F147" s="90"/>
      <c r="G147" s="90"/>
      <c r="H147" s="90"/>
      <c r="I147" s="90"/>
    </row>
    <row r="148" spans="2:9" x14ac:dyDescent="0.25">
      <c r="B148" s="90"/>
      <c r="C148" s="90"/>
      <c r="D148" s="90"/>
      <c r="E148" s="90"/>
      <c r="F148" s="90"/>
      <c r="G148" s="90"/>
      <c r="H148" s="90"/>
      <c r="I148" s="90"/>
    </row>
    <row r="149" spans="2:9" x14ac:dyDescent="0.25">
      <c r="B149" s="90"/>
      <c r="C149" s="90"/>
      <c r="D149" s="90"/>
      <c r="E149" s="90"/>
      <c r="F149" s="90"/>
      <c r="G149" s="90"/>
      <c r="H149" s="90"/>
      <c r="I149" s="90"/>
    </row>
    <row r="150" spans="2:9" x14ac:dyDescent="0.25">
      <c r="B150" s="90"/>
      <c r="C150" s="90"/>
      <c r="D150" s="90"/>
      <c r="E150" s="90"/>
      <c r="F150" s="90"/>
      <c r="G150" s="90"/>
      <c r="H150" s="90"/>
      <c r="I150" s="90"/>
    </row>
    <row r="167" spans="1:9" x14ac:dyDescent="0.25">
      <c r="A167" s="375"/>
      <c r="B167" s="100"/>
      <c r="C167" s="90"/>
      <c r="D167" s="100"/>
      <c r="E167" s="100"/>
      <c r="F167" s="90"/>
      <c r="G167" s="100"/>
      <c r="H167" s="90"/>
      <c r="I167" s="90"/>
    </row>
    <row r="168" spans="1:9" x14ac:dyDescent="0.25">
      <c r="A168" s="375"/>
      <c r="B168" s="100"/>
      <c r="C168" s="90"/>
      <c r="D168" s="100"/>
      <c r="E168" s="100"/>
      <c r="F168" s="90"/>
      <c r="G168" s="380"/>
      <c r="H168" s="90"/>
      <c r="I168" s="90"/>
    </row>
    <row r="169" spans="1:9" x14ac:dyDescent="0.25">
      <c r="A169" s="375"/>
      <c r="B169" s="100"/>
      <c r="C169" s="90"/>
      <c r="D169" s="100"/>
      <c r="E169" s="100"/>
      <c r="F169" s="90"/>
      <c r="G169" s="380"/>
      <c r="H169" s="90"/>
      <c r="I169" s="90"/>
    </row>
    <row r="170" spans="1:9" x14ac:dyDescent="0.25">
      <c r="A170" s="375"/>
      <c r="B170" s="90"/>
      <c r="C170" s="90"/>
      <c r="D170" s="90"/>
      <c r="E170" s="90"/>
      <c r="F170" s="90"/>
      <c r="G170" s="90"/>
      <c r="H170" s="90"/>
      <c r="I170" s="90"/>
    </row>
    <row r="171" spans="1:9" x14ac:dyDescent="0.25">
      <c r="A171" s="1632"/>
      <c r="B171" s="90"/>
      <c r="C171" s="90"/>
      <c r="D171" s="90"/>
      <c r="E171" s="101"/>
      <c r="F171" s="1633"/>
      <c r="G171" s="101"/>
      <c r="H171" s="147"/>
      <c r="I171" s="90"/>
    </row>
    <row r="172" spans="1:9" x14ac:dyDescent="0.25">
      <c r="A172" s="510"/>
      <c r="B172" s="90"/>
      <c r="C172" s="90"/>
      <c r="D172" s="90"/>
      <c r="E172" s="90"/>
      <c r="F172" s="90"/>
      <c r="G172" s="90"/>
      <c r="H172" s="90"/>
      <c r="I172" s="90"/>
    </row>
    <row r="173" spans="1:9" x14ac:dyDescent="0.25">
      <c r="A173" s="375"/>
      <c r="B173" s="90"/>
      <c r="C173" s="90"/>
      <c r="D173" s="90"/>
      <c r="E173" s="90"/>
      <c r="F173" s="90"/>
      <c r="G173" s="90"/>
      <c r="H173" s="90"/>
      <c r="I173" s="90"/>
    </row>
    <row r="174" spans="1:9" x14ac:dyDescent="0.25">
      <c r="A174" s="510"/>
      <c r="B174" s="90"/>
      <c r="C174" s="90"/>
      <c r="D174" s="90"/>
      <c r="E174" s="90"/>
      <c r="F174" s="90"/>
      <c r="G174" s="90"/>
      <c r="H174" s="90"/>
      <c r="I174" s="90"/>
    </row>
    <row r="175" spans="1:9" x14ac:dyDescent="0.25">
      <c r="A175" s="510"/>
      <c r="B175" s="90"/>
      <c r="C175" s="90"/>
      <c r="D175" s="90"/>
      <c r="E175" s="90"/>
      <c r="F175" s="90"/>
      <c r="G175" s="90"/>
      <c r="H175" s="90"/>
      <c r="I175" s="90"/>
    </row>
    <row r="176" spans="1:9" x14ac:dyDescent="0.25">
      <c r="A176" s="510"/>
      <c r="B176" s="90"/>
      <c r="C176" s="90"/>
      <c r="D176" s="90"/>
      <c r="E176" s="90"/>
      <c r="F176" s="90"/>
      <c r="G176" s="90"/>
      <c r="H176" s="90"/>
      <c r="I176" s="90"/>
    </row>
    <row r="177" spans="1:9" x14ac:dyDescent="0.25">
      <c r="A177" s="510"/>
      <c r="B177" s="90"/>
      <c r="C177" s="90"/>
      <c r="D177" s="90"/>
      <c r="E177" s="90"/>
      <c r="F177" s="90"/>
      <c r="G177" s="90"/>
      <c r="H177" s="90"/>
      <c r="I177" s="90"/>
    </row>
    <row r="178" spans="1:9" x14ac:dyDescent="0.25">
      <c r="A178" s="510"/>
      <c r="B178" s="147"/>
      <c r="C178" s="90"/>
      <c r="D178" s="90"/>
      <c r="E178" s="90"/>
      <c r="F178" s="90"/>
      <c r="G178" s="90"/>
      <c r="H178" s="90"/>
      <c r="I178" s="90"/>
    </row>
    <row r="179" spans="1:9" x14ac:dyDescent="0.25">
      <c r="A179" s="510"/>
      <c r="B179" s="147"/>
      <c r="C179" s="90"/>
      <c r="D179" s="90"/>
      <c r="E179" s="90"/>
      <c r="F179" s="90"/>
      <c r="G179" s="90"/>
      <c r="H179" s="90"/>
      <c r="I179" s="90"/>
    </row>
    <row r="180" spans="1:9" x14ac:dyDescent="0.25">
      <c r="A180" s="375"/>
      <c r="B180" s="147"/>
      <c r="C180" s="90"/>
      <c r="D180" s="90"/>
      <c r="E180" s="90"/>
      <c r="F180" s="90"/>
      <c r="G180" s="150"/>
      <c r="H180" s="90"/>
      <c r="I180" s="90"/>
    </row>
    <row r="181" spans="1:9" x14ac:dyDescent="0.25">
      <c r="A181" s="375"/>
      <c r="B181" s="147"/>
      <c r="C181" s="90"/>
      <c r="D181" s="90"/>
      <c r="E181" s="90"/>
      <c r="F181" s="90"/>
      <c r="G181" s="150"/>
      <c r="H181" s="90"/>
      <c r="I181" s="90"/>
    </row>
    <row r="182" spans="1:9" x14ac:dyDescent="0.25">
      <c r="A182" s="375"/>
      <c r="B182" s="147"/>
      <c r="C182" s="90"/>
      <c r="D182" s="90"/>
      <c r="E182" s="90"/>
      <c r="F182" s="90"/>
      <c r="G182" s="150"/>
      <c r="H182" s="90"/>
      <c r="I182" s="90"/>
    </row>
    <row r="183" spans="1:9" x14ac:dyDescent="0.25">
      <c r="A183" s="375"/>
      <c r="B183" s="147"/>
      <c r="C183" s="90"/>
      <c r="D183" s="90"/>
      <c r="E183" s="90"/>
      <c r="F183" s="150"/>
      <c r="G183" s="90"/>
      <c r="H183" s="90"/>
      <c r="I183" s="90"/>
    </row>
    <row r="184" spans="1:9" x14ac:dyDescent="0.25">
      <c r="A184" s="375"/>
      <c r="B184" s="166"/>
      <c r="C184" s="90"/>
      <c r="D184" s="90"/>
      <c r="E184" s="90"/>
      <c r="F184" s="90"/>
      <c r="G184" s="90"/>
      <c r="H184" s="90"/>
      <c r="I184" s="90"/>
    </row>
    <row r="185" spans="1:9" x14ac:dyDescent="0.25">
      <c r="A185" s="375"/>
      <c r="B185" s="147"/>
      <c r="C185" s="90"/>
      <c r="D185" s="90"/>
      <c r="E185" s="90"/>
      <c r="F185" s="90"/>
      <c r="G185" s="150"/>
      <c r="H185" s="90"/>
      <c r="I185" s="90"/>
    </row>
    <row r="186" spans="1:9" x14ac:dyDescent="0.25">
      <c r="A186" s="375"/>
      <c r="B186" s="147"/>
      <c r="C186" s="90"/>
      <c r="D186" s="90"/>
      <c r="E186" s="90"/>
      <c r="F186" s="90"/>
      <c r="G186" s="150"/>
      <c r="H186" s="90"/>
      <c r="I186" s="90"/>
    </row>
    <row r="187" spans="1:9" x14ac:dyDescent="0.25">
      <c r="A187" s="375"/>
      <c r="B187" s="147"/>
      <c r="C187" s="90"/>
      <c r="D187" s="90"/>
      <c r="E187" s="90"/>
      <c r="F187" s="90"/>
      <c r="G187" s="150"/>
      <c r="H187" s="90"/>
      <c r="I187" s="90"/>
    </row>
    <row r="188" spans="1:9" x14ac:dyDescent="0.25">
      <c r="A188" s="375"/>
      <c r="B188" s="90"/>
      <c r="C188" s="90"/>
      <c r="D188" s="90"/>
      <c r="E188" s="90"/>
      <c r="F188" s="90"/>
      <c r="G188" s="150"/>
      <c r="H188" s="90"/>
      <c r="I188" s="90"/>
    </row>
    <row r="189" spans="1:9" x14ac:dyDescent="0.25">
      <c r="A189" s="375"/>
      <c r="B189" s="147"/>
      <c r="C189" s="90"/>
      <c r="D189" s="90"/>
      <c r="E189" s="90"/>
      <c r="F189" s="90"/>
      <c r="G189" s="150"/>
      <c r="H189" s="90"/>
      <c r="I189" s="90"/>
    </row>
    <row r="190" spans="1:9" x14ac:dyDescent="0.25">
      <c r="A190" s="375"/>
      <c r="B190" s="147"/>
      <c r="C190" s="90"/>
      <c r="D190" s="90"/>
      <c r="E190" s="90"/>
      <c r="F190" s="90"/>
      <c r="G190" s="150"/>
      <c r="H190" s="90"/>
      <c r="I190" s="90"/>
    </row>
    <row r="191" spans="1:9" x14ac:dyDescent="0.25">
      <c r="A191" s="375"/>
      <c r="B191" s="147"/>
      <c r="C191" s="90"/>
      <c r="D191" s="90"/>
      <c r="E191" s="90"/>
      <c r="F191" s="150"/>
      <c r="G191" s="90"/>
      <c r="H191" s="90"/>
      <c r="I191" s="90"/>
    </row>
    <row r="192" spans="1:9" x14ac:dyDescent="0.25">
      <c r="A192" s="375"/>
      <c r="B192" s="147"/>
      <c r="C192" s="90"/>
      <c r="D192" s="90"/>
      <c r="E192" s="90"/>
      <c r="F192" s="90"/>
      <c r="G192" s="90"/>
      <c r="H192" s="90"/>
      <c r="I192" s="90"/>
    </row>
    <row r="193" spans="1:9" x14ac:dyDescent="0.25">
      <c r="A193" s="375"/>
      <c r="B193" s="147"/>
      <c r="C193" s="90"/>
      <c r="D193" s="90"/>
      <c r="E193" s="90"/>
      <c r="F193" s="90"/>
      <c r="G193" s="90"/>
      <c r="H193" s="90"/>
      <c r="I193" s="90"/>
    </row>
    <row r="194" spans="1:9" x14ac:dyDescent="0.25">
      <c r="A194" s="375"/>
      <c r="B194" s="170"/>
      <c r="C194" s="90"/>
      <c r="D194" s="101"/>
      <c r="E194" s="90"/>
      <c r="F194" s="90"/>
      <c r="G194" s="90"/>
      <c r="H194" s="90"/>
      <c r="I194" s="90"/>
    </row>
    <row r="195" spans="1:9" x14ac:dyDescent="0.25">
      <c r="A195" s="375"/>
      <c r="B195" s="147"/>
      <c r="C195" s="90"/>
      <c r="D195" s="90"/>
      <c r="E195" s="90"/>
      <c r="F195" s="90"/>
      <c r="G195" s="150"/>
      <c r="H195" s="90"/>
      <c r="I195" s="90"/>
    </row>
    <row r="196" spans="1:9" x14ac:dyDescent="0.25">
      <c r="A196" s="375"/>
      <c r="B196" s="147"/>
      <c r="C196" s="90"/>
      <c r="D196" s="90"/>
      <c r="E196" s="90"/>
      <c r="F196" s="90"/>
      <c r="G196" s="150"/>
      <c r="H196" s="90"/>
      <c r="I196" s="90"/>
    </row>
    <row r="197" spans="1:9" x14ac:dyDescent="0.25">
      <c r="A197" s="375"/>
      <c r="B197" s="147"/>
      <c r="C197" s="90"/>
      <c r="D197" s="90"/>
      <c r="E197" s="90"/>
      <c r="F197" s="90"/>
      <c r="G197" s="150"/>
      <c r="H197" s="90"/>
      <c r="I197" s="90"/>
    </row>
    <row r="198" spans="1:9" x14ac:dyDescent="0.25">
      <c r="A198" s="375"/>
      <c r="B198" s="147"/>
      <c r="C198" s="90"/>
      <c r="D198" s="90"/>
      <c r="E198" s="90"/>
      <c r="F198" s="90"/>
      <c r="G198" s="150"/>
      <c r="H198" s="90"/>
      <c r="I198" s="90"/>
    </row>
    <row r="199" spans="1:9" x14ac:dyDescent="0.25">
      <c r="A199" s="375"/>
      <c r="B199" s="147"/>
      <c r="C199" s="90"/>
      <c r="D199" s="90"/>
      <c r="E199" s="90"/>
      <c r="F199" s="150"/>
      <c r="G199" s="90"/>
      <c r="H199" s="90"/>
      <c r="I199" s="90"/>
    </row>
    <row r="200" spans="1:9" x14ac:dyDescent="0.25">
      <c r="A200" s="375"/>
      <c r="B200" s="147"/>
      <c r="C200" s="90"/>
      <c r="D200" s="90"/>
      <c r="E200" s="90"/>
      <c r="F200" s="90"/>
      <c r="G200" s="150"/>
      <c r="H200" s="90"/>
      <c r="I200" s="90"/>
    </row>
    <row r="201" spans="1:9" x14ac:dyDescent="0.25">
      <c r="A201" s="375"/>
      <c r="B201" s="147"/>
      <c r="C201" s="90"/>
      <c r="D201" s="90"/>
      <c r="E201" s="90"/>
      <c r="F201" s="150"/>
      <c r="G201" s="90"/>
      <c r="H201" s="90"/>
      <c r="I201" s="90"/>
    </row>
    <row r="202" spans="1:9" x14ac:dyDescent="0.25">
      <c r="A202" s="375"/>
      <c r="B202" s="147"/>
      <c r="C202" s="90"/>
      <c r="D202" s="90"/>
      <c r="E202" s="90"/>
      <c r="F202" s="90"/>
      <c r="G202" s="150"/>
      <c r="H202" s="90"/>
      <c r="I202" s="90"/>
    </row>
    <row r="203" spans="1:9" x14ac:dyDescent="0.25">
      <c r="A203" s="375"/>
      <c r="B203" s="147"/>
      <c r="C203" s="90"/>
      <c r="D203" s="90"/>
      <c r="E203" s="90"/>
      <c r="F203" s="150"/>
      <c r="G203" s="90"/>
      <c r="H203" s="90"/>
      <c r="I203" s="90"/>
    </row>
    <row r="204" spans="1:9" x14ac:dyDescent="0.25">
      <c r="A204" s="375"/>
      <c r="B204" s="90"/>
      <c r="C204" s="90"/>
      <c r="D204" s="90"/>
      <c r="E204" s="90"/>
      <c r="F204" s="90"/>
      <c r="G204" s="150"/>
      <c r="H204" s="90"/>
      <c r="I204" s="90"/>
    </row>
    <row r="205" spans="1:9" x14ac:dyDescent="0.25">
      <c r="A205" s="375"/>
      <c r="B205" s="147"/>
      <c r="C205" s="90"/>
      <c r="D205" s="90"/>
      <c r="E205" s="90"/>
      <c r="F205" s="150"/>
      <c r="G205" s="90"/>
      <c r="H205" s="90"/>
      <c r="I205" s="90"/>
    </row>
    <row r="206" spans="1:9" x14ac:dyDescent="0.25">
      <c r="A206" s="375"/>
      <c r="B206" s="380"/>
      <c r="C206" s="90"/>
      <c r="D206" s="90"/>
      <c r="E206" s="90"/>
      <c r="F206" s="90"/>
      <c r="G206" s="90"/>
      <c r="H206" s="90"/>
      <c r="I206" s="90"/>
    </row>
    <row r="207" spans="1:9" x14ac:dyDescent="0.25">
      <c r="A207" s="375"/>
      <c r="B207" s="100"/>
      <c r="C207" s="90"/>
      <c r="D207" s="90"/>
      <c r="E207" s="90"/>
      <c r="F207" s="90"/>
      <c r="G207" s="90"/>
      <c r="H207" s="90"/>
      <c r="I207" s="90"/>
    </row>
    <row r="208" spans="1:9" x14ac:dyDescent="0.25">
      <c r="A208" s="375"/>
      <c r="B208" s="147"/>
      <c r="C208" s="90"/>
      <c r="D208" s="90"/>
      <c r="E208" s="90"/>
      <c r="F208" s="150"/>
      <c r="G208" s="90"/>
      <c r="H208" s="90"/>
      <c r="I208" s="90"/>
    </row>
    <row r="209" spans="1:9" x14ac:dyDescent="0.25">
      <c r="A209" s="375"/>
      <c r="B209" s="147"/>
      <c r="C209" s="90"/>
      <c r="D209" s="90"/>
      <c r="E209" s="90"/>
      <c r="F209" s="150"/>
      <c r="G209" s="90"/>
      <c r="H209" s="90"/>
      <c r="I209" s="90"/>
    </row>
    <row r="210" spans="1:9" x14ac:dyDescent="0.25">
      <c r="A210" s="375"/>
      <c r="B210" s="147"/>
      <c r="C210" s="90"/>
      <c r="D210" s="90"/>
      <c r="E210" s="90"/>
      <c r="F210" s="90"/>
      <c r="G210" s="90"/>
      <c r="H210" s="90"/>
      <c r="I210" s="90"/>
    </row>
    <row r="211" spans="1:9" x14ac:dyDescent="0.25">
      <c r="A211" s="375"/>
      <c r="B211" s="90"/>
      <c r="C211" s="90"/>
      <c r="D211" s="90"/>
      <c r="E211" s="90"/>
      <c r="F211" s="90"/>
      <c r="G211" s="90"/>
      <c r="H211" s="150"/>
      <c r="I211" s="90"/>
    </row>
    <row r="212" spans="1:9" x14ac:dyDescent="0.25">
      <c r="A212" s="375"/>
      <c r="B212" s="90"/>
      <c r="C212" s="90"/>
      <c r="D212" s="90"/>
      <c r="E212" s="90"/>
      <c r="F212" s="90"/>
      <c r="G212" s="90"/>
      <c r="H212" s="150"/>
      <c r="I212" s="90"/>
    </row>
    <row r="213" spans="1:9" x14ac:dyDescent="0.25">
      <c r="A213" s="375"/>
      <c r="B213" s="90"/>
      <c r="C213" s="90"/>
      <c r="D213" s="90"/>
      <c r="E213" s="90"/>
      <c r="F213" s="90"/>
      <c r="G213" s="90"/>
      <c r="H213" s="150"/>
      <c r="I213" s="90"/>
    </row>
    <row r="214" spans="1:9" x14ac:dyDescent="0.25">
      <c r="A214" s="375"/>
      <c r="B214" s="90"/>
      <c r="C214" s="90"/>
      <c r="D214" s="90"/>
      <c r="E214" s="90"/>
      <c r="F214" s="90"/>
      <c r="G214" s="90"/>
      <c r="H214" s="150"/>
      <c r="I214" s="90"/>
    </row>
    <row r="215" spans="1:9" x14ac:dyDescent="0.25">
      <c r="A215" s="375"/>
      <c r="B215" s="90"/>
      <c r="C215" s="90"/>
      <c r="D215" s="90"/>
      <c r="E215" s="90"/>
      <c r="F215" s="90"/>
      <c r="G215" s="90"/>
      <c r="H215" s="90"/>
      <c r="I215" s="90"/>
    </row>
    <row r="216" spans="1:9" x14ac:dyDescent="0.25">
      <c r="A216" s="375"/>
      <c r="B216" s="90"/>
      <c r="C216" s="90"/>
      <c r="D216" s="90"/>
      <c r="E216" s="90"/>
      <c r="F216" s="90"/>
      <c r="G216" s="90"/>
      <c r="H216" s="150"/>
      <c r="I216" s="90"/>
    </row>
    <row r="217" spans="1:9" x14ac:dyDescent="0.25">
      <c r="A217" s="375"/>
      <c r="B217" s="90"/>
      <c r="C217" s="90"/>
      <c r="D217" s="90"/>
      <c r="E217" s="90"/>
      <c r="F217" s="90"/>
      <c r="G217" s="90"/>
      <c r="H217" s="90"/>
      <c r="I217" s="90"/>
    </row>
    <row r="218" spans="1:9" x14ac:dyDescent="0.25">
      <c r="A218" s="375"/>
      <c r="B218" s="90"/>
      <c r="C218" s="147"/>
      <c r="D218" s="90"/>
      <c r="E218" s="90"/>
      <c r="F218" s="90"/>
      <c r="G218" s="90"/>
      <c r="H218" s="150"/>
      <c r="I218" s="90"/>
    </row>
    <row r="219" spans="1:9" x14ac:dyDescent="0.25">
      <c r="A219" s="375"/>
      <c r="B219" s="90"/>
      <c r="C219" s="90"/>
      <c r="D219" s="90"/>
      <c r="E219" s="90"/>
      <c r="F219" s="90"/>
      <c r="G219" s="90"/>
      <c r="H219" s="90"/>
      <c r="I219" s="90"/>
    </row>
    <row r="220" spans="1:9" x14ac:dyDescent="0.25">
      <c r="A220" s="375"/>
      <c r="B220" s="147"/>
      <c r="C220" s="90"/>
      <c r="D220" s="90"/>
      <c r="E220" s="90"/>
      <c r="F220" s="90"/>
      <c r="G220" s="90"/>
      <c r="H220" s="150"/>
      <c r="I220" s="90"/>
    </row>
    <row r="222" spans="1:9" x14ac:dyDescent="0.25">
      <c r="B222" s="541"/>
      <c r="H222" s="154"/>
    </row>
    <row r="223" spans="1:9" x14ac:dyDescent="0.25">
      <c r="B223" s="154"/>
    </row>
    <row r="224" spans="1:9" x14ac:dyDescent="0.25">
      <c r="B224" s="154"/>
    </row>
    <row r="225" spans="2:8" x14ac:dyDescent="0.25">
      <c r="B225" s="105"/>
    </row>
    <row r="226" spans="2:8" x14ac:dyDescent="0.25">
      <c r="B226" s="105"/>
      <c r="E226" s="717"/>
      <c r="F226" s="717"/>
      <c r="H226" s="154"/>
    </row>
    <row r="227" spans="2:8" x14ac:dyDescent="0.25">
      <c r="B227" s="105"/>
      <c r="E227" s="717"/>
      <c r="H227" s="154"/>
    </row>
    <row r="230" spans="2:8" x14ac:dyDescent="0.25">
      <c r="H230" s="154"/>
    </row>
    <row r="233" spans="2:8" x14ac:dyDescent="0.25">
      <c r="H233" s="154"/>
    </row>
    <row r="239" spans="2:8" x14ac:dyDescent="0.25">
      <c r="H239" s="154"/>
    </row>
  </sheetData>
  <mergeCells count="25">
    <mergeCell ref="I21:J21"/>
    <mergeCell ref="A1:I1"/>
    <mergeCell ref="D17:E17"/>
    <mergeCell ref="I18:J18"/>
    <mergeCell ref="I19:J19"/>
    <mergeCell ref="I20:J20"/>
    <mergeCell ref="B92:E92"/>
    <mergeCell ref="I22:J22"/>
    <mergeCell ref="I23:J23"/>
    <mergeCell ref="A46:I46"/>
    <mergeCell ref="B48:G48"/>
    <mergeCell ref="B50:E50"/>
    <mergeCell ref="B54:E54"/>
    <mergeCell ref="B56:E56"/>
    <mergeCell ref="B59:E59"/>
    <mergeCell ref="B80:E80"/>
    <mergeCell ref="B82:E82"/>
    <mergeCell ref="B90:E90"/>
    <mergeCell ref="B114:E114"/>
    <mergeCell ref="B98:E98"/>
    <mergeCell ref="B102:E102"/>
    <mergeCell ref="B104:E104"/>
    <mergeCell ref="B106:E106"/>
    <mergeCell ref="B108:E108"/>
    <mergeCell ref="B112:E112"/>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I157"/>
  <sheetViews>
    <sheetView workbookViewId="0">
      <selection activeCell="I21" sqref="I21"/>
    </sheetView>
  </sheetViews>
  <sheetFormatPr defaultColWidth="9.140625" defaultRowHeight="15" x14ac:dyDescent="0.3"/>
  <cols>
    <col min="1" max="7" width="9.140625" style="455"/>
    <col min="8" max="8" width="11.42578125" style="455" customWidth="1"/>
    <col min="9" max="9" width="9.140625" style="455"/>
    <col min="10" max="10" width="11.140625" style="456" customWidth="1"/>
    <col min="11" max="16384" width="9.140625" style="455"/>
  </cols>
  <sheetData>
    <row r="1" spans="1:13" x14ac:dyDescent="0.3">
      <c r="L1" s="455">
        <v>13324</v>
      </c>
      <c r="M1" s="455">
        <v>600</v>
      </c>
    </row>
    <row r="2" spans="1:13" ht="16.5" x14ac:dyDescent="0.35">
      <c r="A2" s="2162" t="str">
        <f>Design!B1</f>
        <v>CPWS SCHEME TO                                                                                                       DISTRICT</v>
      </c>
      <c r="B2" s="2162"/>
      <c r="C2" s="2162"/>
      <c r="D2" s="2162"/>
      <c r="E2" s="2162"/>
      <c r="F2" s="2162"/>
      <c r="G2" s="2162"/>
      <c r="H2" s="2162"/>
      <c r="I2" s="2162"/>
      <c r="J2" s="2162"/>
    </row>
    <row r="3" spans="1:13" x14ac:dyDescent="0.3">
      <c r="A3" s="2163" t="s">
        <v>399</v>
      </c>
      <c r="B3" s="2163"/>
      <c r="C3" s="2163"/>
      <c r="D3" s="2163"/>
      <c r="E3" s="2163"/>
      <c r="F3" s="2163"/>
      <c r="G3" s="2163"/>
      <c r="H3" s="2163"/>
      <c r="I3" s="457">
        <v>30</v>
      </c>
      <c r="J3" s="458" t="s">
        <v>321</v>
      </c>
    </row>
    <row r="4" spans="1:13" ht="16.5" x14ac:dyDescent="0.35">
      <c r="A4" s="459"/>
      <c r="B4" s="460"/>
      <c r="C4" s="460"/>
      <c r="D4" s="460"/>
      <c r="E4" s="460"/>
      <c r="F4" s="460"/>
      <c r="G4" s="460"/>
      <c r="H4" s="461" t="s">
        <v>136</v>
      </c>
      <c r="I4" s="461"/>
      <c r="J4" s="462">
        <f>+J150</f>
        <v>237721</v>
      </c>
    </row>
    <row r="5" spans="1:13" ht="18" x14ac:dyDescent="0.35">
      <c r="A5" s="463" t="s">
        <v>400</v>
      </c>
      <c r="B5" s="464" t="s">
        <v>138</v>
      </c>
      <c r="C5" s="465"/>
      <c r="D5" s="465"/>
      <c r="E5" s="463"/>
      <c r="F5" s="463"/>
      <c r="G5" s="463" t="s">
        <v>139</v>
      </c>
      <c r="H5" s="466" t="s">
        <v>140</v>
      </c>
      <c r="I5" s="466" t="s">
        <v>401</v>
      </c>
      <c r="J5" s="467" t="s">
        <v>141</v>
      </c>
    </row>
    <row r="6" spans="1:13" x14ac:dyDescent="0.3">
      <c r="A6" s="468" t="s">
        <v>402</v>
      </c>
      <c r="B6" s="469" t="s">
        <v>403</v>
      </c>
    </row>
    <row r="7" spans="1:13" x14ac:dyDescent="0.3">
      <c r="A7" s="468"/>
      <c r="B7" s="469" t="s">
        <v>404</v>
      </c>
    </row>
    <row r="8" spans="1:13" ht="21" x14ac:dyDescent="0.4">
      <c r="A8" s="468"/>
      <c r="B8" s="470"/>
      <c r="C8" s="471" t="s">
        <v>405</v>
      </c>
      <c r="D8" s="472">
        <v>1.5</v>
      </c>
      <c r="E8" s="473">
        <v>1.5</v>
      </c>
      <c r="F8" s="474">
        <v>1.8</v>
      </c>
      <c r="G8" s="456">
        <f>ROUND(D8*E8*F8,2)</f>
        <v>4.05</v>
      </c>
      <c r="H8" s="456">
        <f>Data!I12</f>
        <v>158.80000000000001</v>
      </c>
      <c r="I8" s="474" t="s">
        <v>406</v>
      </c>
      <c r="J8" s="456">
        <f>ROUND(H8*G8,0)</f>
        <v>643</v>
      </c>
    </row>
    <row r="9" spans="1:13" x14ac:dyDescent="0.3">
      <c r="A9" s="468" t="s">
        <v>291</v>
      </c>
      <c r="B9" s="469" t="s">
        <v>407</v>
      </c>
      <c r="I9" s="468"/>
    </row>
    <row r="10" spans="1:13" x14ac:dyDescent="0.3">
      <c r="A10" s="468"/>
      <c r="B10" s="469" t="s">
        <v>408</v>
      </c>
      <c r="F10" s="456"/>
      <c r="G10" s="456"/>
      <c r="I10" s="468"/>
    </row>
    <row r="11" spans="1:13" ht="21" x14ac:dyDescent="0.4">
      <c r="A11" s="468"/>
      <c r="B11" s="469"/>
      <c r="C11" s="471" t="s">
        <v>405</v>
      </c>
      <c r="D11" s="472">
        <v>1.5</v>
      </c>
      <c r="E11" s="473">
        <v>1.5</v>
      </c>
      <c r="F11" s="473">
        <v>0.3</v>
      </c>
      <c r="G11" s="456">
        <f>ROUND(D11*E11*F11,2)</f>
        <v>0.68</v>
      </c>
      <c r="H11" s="456">
        <f>Data!I44</f>
        <v>4470.5</v>
      </c>
      <c r="I11" s="474" t="s">
        <v>406</v>
      </c>
      <c r="J11" s="456">
        <f>ROUND(H11*G11,0)</f>
        <v>3040</v>
      </c>
    </row>
    <row r="12" spans="1:13" x14ac:dyDescent="0.3">
      <c r="A12" s="468" t="s">
        <v>409</v>
      </c>
      <c r="B12" s="469" t="s">
        <v>410</v>
      </c>
      <c r="I12" s="468"/>
    </row>
    <row r="13" spans="1:13" x14ac:dyDescent="0.3">
      <c r="A13" s="468"/>
      <c r="B13" s="469" t="s">
        <v>411</v>
      </c>
      <c r="I13" s="468"/>
    </row>
    <row r="14" spans="1:13" ht="16.5" x14ac:dyDescent="0.35">
      <c r="A14" s="468"/>
      <c r="B14" s="469" t="s">
        <v>412</v>
      </c>
      <c r="I14" s="468"/>
    </row>
    <row r="15" spans="1:13" ht="21" x14ac:dyDescent="0.4">
      <c r="A15" s="468"/>
      <c r="B15" s="469"/>
      <c r="C15" s="471" t="s">
        <v>405</v>
      </c>
      <c r="D15" s="472">
        <v>1.5</v>
      </c>
      <c r="E15" s="473">
        <v>1.5</v>
      </c>
      <c r="F15" s="473">
        <v>0.2</v>
      </c>
      <c r="G15" s="456">
        <f>ROUND(D15*E15*F15,2)</f>
        <v>0.45</v>
      </c>
      <c r="H15" s="447">
        <f>Data!H161</f>
        <v>8644</v>
      </c>
      <c r="I15" s="474" t="s">
        <v>406</v>
      </c>
      <c r="J15" s="456">
        <f>ROUND(H15*G15,0)</f>
        <v>3890</v>
      </c>
    </row>
    <row r="16" spans="1:13" x14ac:dyDescent="0.3">
      <c r="A16" s="468"/>
      <c r="B16" s="469"/>
      <c r="C16" s="475" t="s">
        <v>413</v>
      </c>
      <c r="E16" s="473"/>
      <c r="F16" s="473"/>
      <c r="G16" s="476">
        <f>0.25/3*(1.5^2+0.5^2+((1.5+0.5)/2)^2)</f>
        <v>0.29166666666666663</v>
      </c>
      <c r="H16" s="456">
        <f>H15</f>
        <v>8644</v>
      </c>
      <c r="I16" s="474" t="s">
        <v>406</v>
      </c>
      <c r="J16" s="456">
        <f>ROUND(H16*G16,0)</f>
        <v>2521</v>
      </c>
    </row>
    <row r="17" spans="1:13" x14ac:dyDescent="0.3">
      <c r="A17" s="468"/>
      <c r="B17" s="469"/>
      <c r="E17" s="469"/>
      <c r="G17" s="456"/>
      <c r="H17" s="456"/>
      <c r="I17" s="474"/>
    </row>
    <row r="18" spans="1:13" x14ac:dyDescent="0.3">
      <c r="A18" s="468" t="s">
        <v>414</v>
      </c>
      <c r="B18" s="469" t="s">
        <v>415</v>
      </c>
      <c r="H18" s="456"/>
      <c r="I18" s="474"/>
    </row>
    <row r="19" spans="1:13" x14ac:dyDescent="0.3">
      <c r="A19" s="468"/>
      <c r="B19" s="455" t="s">
        <v>416</v>
      </c>
      <c r="H19" s="456"/>
      <c r="I19" s="474"/>
    </row>
    <row r="20" spans="1:13" ht="16.5" x14ac:dyDescent="0.35">
      <c r="A20" s="468"/>
      <c r="B20" s="469" t="s">
        <v>417</v>
      </c>
      <c r="I20" s="468"/>
    </row>
    <row r="21" spans="1:13" x14ac:dyDescent="0.3">
      <c r="A21" s="468"/>
      <c r="B21" s="469" t="s">
        <v>418</v>
      </c>
      <c r="E21" s="469"/>
      <c r="G21" s="456"/>
      <c r="I21" s="468"/>
    </row>
    <row r="22" spans="1:13" x14ac:dyDescent="0.3">
      <c r="A22" s="468"/>
      <c r="B22" s="469"/>
      <c r="E22" s="469"/>
      <c r="G22" s="456"/>
      <c r="I22" s="468"/>
    </row>
    <row r="23" spans="1:13" ht="21" x14ac:dyDescent="0.4">
      <c r="A23" s="468"/>
      <c r="B23" s="455" t="s">
        <v>419</v>
      </c>
      <c r="C23" s="471" t="s">
        <v>405</v>
      </c>
      <c r="D23" s="472">
        <v>0.5</v>
      </c>
      <c r="E23" s="473">
        <v>0.5</v>
      </c>
      <c r="F23" s="473">
        <f>F8-F11-F15-0.25-0.3</f>
        <v>0.75</v>
      </c>
      <c r="G23" s="456">
        <f>ROUND(D23*E23*F23,2)</f>
        <v>0.19</v>
      </c>
      <c r="I23" s="468"/>
    </row>
    <row r="24" spans="1:13" ht="21" x14ac:dyDescent="0.4">
      <c r="A24" s="468"/>
      <c r="B24" s="470" t="s">
        <v>420</v>
      </c>
      <c r="C24" s="471" t="s">
        <v>421</v>
      </c>
      <c r="D24" s="473">
        <v>0.4</v>
      </c>
      <c r="E24" s="472">
        <v>0.4</v>
      </c>
      <c r="F24" s="477">
        <v>3</v>
      </c>
      <c r="G24" s="456">
        <f>ROUND(PI()/4*D24*E24*F24,2)</f>
        <v>0.38</v>
      </c>
      <c r="I24" s="468"/>
    </row>
    <row r="25" spans="1:13" x14ac:dyDescent="0.3">
      <c r="A25" s="468"/>
      <c r="B25" s="469"/>
      <c r="C25" s="478"/>
      <c r="D25" s="473"/>
      <c r="E25" s="473"/>
      <c r="F25" s="456"/>
      <c r="G25" s="479">
        <f>SUM(G23:G24)</f>
        <v>0.57000000000000006</v>
      </c>
      <c r="H25" s="456">
        <f>Data!I1281</f>
        <v>27412.487685</v>
      </c>
      <c r="I25" s="474" t="s">
        <v>406</v>
      </c>
      <c r="J25" s="456">
        <f t="shared" ref="J25:J32" si="0">ROUND(H25*G25,0)</f>
        <v>15625</v>
      </c>
    </row>
    <row r="26" spans="1:13" ht="21" x14ac:dyDescent="0.4">
      <c r="A26" s="468"/>
      <c r="B26" s="469" t="s">
        <v>422</v>
      </c>
      <c r="C26" s="471" t="s">
        <v>421</v>
      </c>
      <c r="D26" s="473">
        <v>0.4</v>
      </c>
      <c r="E26" s="472">
        <v>0.4</v>
      </c>
      <c r="F26" s="477">
        <v>1</v>
      </c>
      <c r="G26" s="456">
        <f t="shared" ref="G26:G55" si="1">ROUND(PI()/4*D26*E26*F26,2)</f>
        <v>0.13</v>
      </c>
      <c r="H26" s="456">
        <f>Data!I1282</f>
        <v>27564.731785</v>
      </c>
      <c r="I26" s="474" t="s">
        <v>406</v>
      </c>
      <c r="J26" s="456">
        <f t="shared" si="0"/>
        <v>3583</v>
      </c>
      <c r="M26" s="455" t="e">
        <f>8/#REF!</f>
        <v>#REF!</v>
      </c>
    </row>
    <row r="27" spans="1:13" ht="21" x14ac:dyDescent="0.4">
      <c r="A27" s="468"/>
      <c r="B27" s="129" t="s">
        <v>423</v>
      </c>
      <c r="C27" s="471" t="s">
        <v>421</v>
      </c>
      <c r="D27" s="473">
        <v>0.4</v>
      </c>
      <c r="E27" s="472">
        <v>0.4</v>
      </c>
      <c r="F27" s="477">
        <v>1</v>
      </c>
      <c r="G27" s="456">
        <f t="shared" si="1"/>
        <v>0.13</v>
      </c>
      <c r="H27" s="456">
        <f>Data!I1283</f>
        <v>27716.975885</v>
      </c>
      <c r="I27" s="474" t="s">
        <v>406</v>
      </c>
      <c r="J27" s="456">
        <f t="shared" si="0"/>
        <v>3603</v>
      </c>
    </row>
    <row r="28" spans="1:13" ht="21" x14ac:dyDescent="0.4">
      <c r="A28" s="468"/>
      <c r="B28" s="129" t="s">
        <v>424</v>
      </c>
      <c r="C28" s="471" t="s">
        <v>421</v>
      </c>
      <c r="D28" s="473">
        <v>0.4</v>
      </c>
      <c r="E28" s="472">
        <v>0.4</v>
      </c>
      <c r="F28" s="477">
        <v>1</v>
      </c>
      <c r="G28" s="456">
        <f t="shared" si="1"/>
        <v>0.13</v>
      </c>
      <c r="H28" s="456">
        <f>Data!I1284</f>
        <v>27869.219985</v>
      </c>
      <c r="I28" s="474" t="s">
        <v>406</v>
      </c>
      <c r="J28" s="456">
        <f t="shared" si="0"/>
        <v>3623</v>
      </c>
    </row>
    <row r="29" spans="1:13" ht="21" x14ac:dyDescent="0.4">
      <c r="A29" s="468"/>
      <c r="B29" s="129" t="s">
        <v>425</v>
      </c>
      <c r="C29" s="471" t="s">
        <v>421</v>
      </c>
      <c r="D29" s="473">
        <v>0.4</v>
      </c>
      <c r="E29" s="472">
        <v>0.4</v>
      </c>
      <c r="F29" s="477">
        <v>1</v>
      </c>
      <c r="G29" s="456">
        <f t="shared" si="1"/>
        <v>0.13</v>
      </c>
      <c r="H29" s="456">
        <f>Data!I1285</f>
        <v>28021.464085</v>
      </c>
      <c r="I29" s="474" t="s">
        <v>406</v>
      </c>
      <c r="J29" s="456">
        <f t="shared" si="0"/>
        <v>3643</v>
      </c>
    </row>
    <row r="30" spans="1:13" ht="21" x14ac:dyDescent="0.4">
      <c r="A30" s="468"/>
      <c r="B30" s="129" t="s">
        <v>426</v>
      </c>
      <c r="C30" s="471" t="s">
        <v>421</v>
      </c>
      <c r="D30" s="473">
        <v>0.4</v>
      </c>
      <c r="E30" s="472">
        <v>0.4</v>
      </c>
      <c r="F30" s="477">
        <v>1</v>
      </c>
      <c r="G30" s="456">
        <f t="shared" si="1"/>
        <v>0.13</v>
      </c>
      <c r="H30" s="456">
        <f>Data!I1286</f>
        <v>28173.708185</v>
      </c>
      <c r="I30" s="474" t="s">
        <v>406</v>
      </c>
      <c r="J30" s="456">
        <f t="shared" si="0"/>
        <v>3663</v>
      </c>
    </row>
    <row r="31" spans="1:13" ht="21" x14ac:dyDescent="0.4">
      <c r="A31" s="468"/>
      <c r="B31" s="129" t="s">
        <v>427</v>
      </c>
      <c r="C31" s="471" t="s">
        <v>421</v>
      </c>
      <c r="D31" s="473">
        <v>0.4</v>
      </c>
      <c r="E31" s="472">
        <v>0.4</v>
      </c>
      <c r="F31" s="477">
        <v>1</v>
      </c>
      <c r="G31" s="456">
        <f t="shared" si="1"/>
        <v>0.13</v>
      </c>
      <c r="H31" s="456">
        <f>Data!I1287</f>
        <v>28325.952284999999</v>
      </c>
      <c r="I31" s="474" t="s">
        <v>406</v>
      </c>
      <c r="J31" s="456">
        <f t="shared" si="0"/>
        <v>3682</v>
      </c>
    </row>
    <row r="32" spans="1:13" ht="21" x14ac:dyDescent="0.4">
      <c r="A32" s="468"/>
      <c r="B32" s="129" t="s">
        <v>428</v>
      </c>
      <c r="C32" s="471" t="s">
        <v>421</v>
      </c>
      <c r="D32" s="473">
        <v>0.4</v>
      </c>
      <c r="E32" s="472">
        <v>0.4</v>
      </c>
      <c r="F32" s="477">
        <v>1</v>
      </c>
      <c r="G32" s="456">
        <f t="shared" si="1"/>
        <v>0.13</v>
      </c>
      <c r="H32" s="456">
        <f>Data!I1288</f>
        <v>28478.196384999999</v>
      </c>
      <c r="I32" s="474" t="s">
        <v>406</v>
      </c>
      <c r="J32" s="456">
        <f t="shared" si="0"/>
        <v>3702</v>
      </c>
    </row>
    <row r="33" spans="1:9" ht="21" x14ac:dyDescent="0.4">
      <c r="A33" s="468"/>
      <c r="B33" s="129" t="s">
        <v>429</v>
      </c>
      <c r="C33" s="471" t="s">
        <v>421</v>
      </c>
      <c r="D33" s="473">
        <v>0.4</v>
      </c>
      <c r="E33" s="472">
        <v>0.4</v>
      </c>
      <c r="F33" s="477">
        <v>1</v>
      </c>
      <c r="G33" s="456">
        <f t="shared" si="1"/>
        <v>0.13</v>
      </c>
      <c r="H33" s="456">
        <f>Data!I1289</f>
        <v>28630.440484999999</v>
      </c>
      <c r="I33" s="474" t="s">
        <v>406</v>
      </c>
    </row>
    <row r="34" spans="1:9" ht="21" x14ac:dyDescent="0.4">
      <c r="A34" s="468"/>
      <c r="B34" s="129" t="s">
        <v>430</v>
      </c>
      <c r="C34" s="471" t="s">
        <v>421</v>
      </c>
      <c r="D34" s="473">
        <v>0.4</v>
      </c>
      <c r="E34" s="472">
        <v>0.4</v>
      </c>
      <c r="F34" s="477">
        <v>1</v>
      </c>
      <c r="G34" s="456">
        <f t="shared" si="1"/>
        <v>0.13</v>
      </c>
      <c r="H34" s="456">
        <f>Data!I1290</f>
        <v>28782.684584999999</v>
      </c>
      <c r="I34" s="474" t="s">
        <v>406</v>
      </c>
    </row>
    <row r="35" spans="1:9" ht="21" x14ac:dyDescent="0.4">
      <c r="A35" s="468"/>
      <c r="B35" s="129" t="s">
        <v>431</v>
      </c>
      <c r="C35" s="471" t="s">
        <v>421</v>
      </c>
      <c r="D35" s="473">
        <v>0.4</v>
      </c>
      <c r="E35" s="472">
        <v>0.4</v>
      </c>
      <c r="F35" s="477">
        <v>1</v>
      </c>
      <c r="G35" s="456">
        <f t="shared" si="1"/>
        <v>0.13</v>
      </c>
      <c r="H35" s="456">
        <f>Data!I1291</f>
        <v>28934.928684999999</v>
      </c>
      <c r="I35" s="474" t="s">
        <v>406</v>
      </c>
    </row>
    <row r="36" spans="1:9" ht="21" x14ac:dyDescent="0.4">
      <c r="A36" s="468"/>
      <c r="B36" s="129" t="s">
        <v>432</v>
      </c>
      <c r="C36" s="471" t="s">
        <v>421</v>
      </c>
      <c r="D36" s="473">
        <v>0.4</v>
      </c>
      <c r="E36" s="472">
        <v>0.4</v>
      </c>
      <c r="F36" s="477">
        <v>1</v>
      </c>
      <c r="G36" s="456">
        <f t="shared" si="1"/>
        <v>0.13</v>
      </c>
      <c r="H36" s="456">
        <f>Data!I1292</f>
        <v>29087.172784999999</v>
      </c>
      <c r="I36" s="474" t="s">
        <v>406</v>
      </c>
    </row>
    <row r="37" spans="1:9" ht="21" x14ac:dyDescent="0.4">
      <c r="A37" s="468"/>
      <c r="B37" s="129" t="s">
        <v>433</v>
      </c>
      <c r="C37" s="471" t="s">
        <v>421</v>
      </c>
      <c r="D37" s="473">
        <v>0.4</v>
      </c>
      <c r="E37" s="472">
        <v>0.4</v>
      </c>
      <c r="F37" s="477">
        <v>1</v>
      </c>
      <c r="G37" s="456">
        <f t="shared" si="1"/>
        <v>0.13</v>
      </c>
      <c r="H37" s="456">
        <f>Data!I1293</f>
        <v>29239.416884999999</v>
      </c>
      <c r="I37" s="474" t="s">
        <v>406</v>
      </c>
    </row>
    <row r="38" spans="1:9" ht="21" x14ac:dyDescent="0.4">
      <c r="A38" s="468"/>
      <c r="B38" s="129" t="s">
        <v>434</v>
      </c>
      <c r="C38" s="471" t="s">
        <v>421</v>
      </c>
      <c r="D38" s="473">
        <v>0.4</v>
      </c>
      <c r="E38" s="472">
        <v>0.4</v>
      </c>
      <c r="F38" s="477">
        <v>1</v>
      </c>
      <c r="G38" s="456">
        <f t="shared" si="1"/>
        <v>0.13</v>
      </c>
      <c r="H38" s="456">
        <f>Data!I1294</f>
        <v>29391.660984999999</v>
      </c>
      <c r="I38" s="474" t="s">
        <v>406</v>
      </c>
    </row>
    <row r="39" spans="1:9" ht="21" x14ac:dyDescent="0.4">
      <c r="A39" s="468"/>
      <c r="B39" s="129" t="s">
        <v>435</v>
      </c>
      <c r="C39" s="471" t="s">
        <v>421</v>
      </c>
      <c r="D39" s="473">
        <v>0.4</v>
      </c>
      <c r="E39" s="472">
        <v>0.4</v>
      </c>
      <c r="F39" s="477">
        <v>1</v>
      </c>
      <c r="G39" s="456">
        <f t="shared" si="1"/>
        <v>0.13</v>
      </c>
      <c r="H39" s="456">
        <f>Data!I1295</f>
        <v>29543.905084999999</v>
      </c>
      <c r="I39" s="474" t="s">
        <v>406</v>
      </c>
    </row>
    <row r="40" spans="1:9" ht="21" x14ac:dyDescent="0.4">
      <c r="A40" s="468"/>
      <c r="B40" s="129" t="s">
        <v>436</v>
      </c>
      <c r="C40" s="471" t="s">
        <v>421</v>
      </c>
      <c r="D40" s="473">
        <v>0.4</v>
      </c>
      <c r="E40" s="472">
        <v>0.4</v>
      </c>
      <c r="F40" s="477">
        <v>1</v>
      </c>
      <c r="G40" s="456">
        <f t="shared" si="1"/>
        <v>0.13</v>
      </c>
      <c r="H40" s="456">
        <f>Data!I1296</f>
        <v>29696.149184999998</v>
      </c>
      <c r="I40" s="474" t="s">
        <v>406</v>
      </c>
    </row>
    <row r="41" spans="1:9" ht="21" x14ac:dyDescent="0.4">
      <c r="A41" s="468"/>
      <c r="B41" s="129" t="s">
        <v>437</v>
      </c>
      <c r="C41" s="471" t="s">
        <v>421</v>
      </c>
      <c r="D41" s="473">
        <v>0.4</v>
      </c>
      <c r="E41" s="472">
        <v>0.4</v>
      </c>
      <c r="F41" s="477">
        <v>1</v>
      </c>
      <c r="G41" s="456">
        <f t="shared" si="1"/>
        <v>0.13</v>
      </c>
      <c r="H41" s="456">
        <f>Data!I1297</f>
        <v>29848.393284999998</v>
      </c>
      <c r="I41" s="474" t="s">
        <v>406</v>
      </c>
    </row>
    <row r="42" spans="1:9" ht="21" x14ac:dyDescent="0.4">
      <c r="A42" s="468"/>
      <c r="B42" s="129" t="s">
        <v>438</v>
      </c>
      <c r="C42" s="471" t="s">
        <v>421</v>
      </c>
      <c r="D42" s="473">
        <v>0.4</v>
      </c>
      <c r="E42" s="472">
        <v>0.4</v>
      </c>
      <c r="F42" s="477">
        <v>1</v>
      </c>
      <c r="G42" s="456">
        <f t="shared" si="1"/>
        <v>0.13</v>
      </c>
      <c r="H42" s="456">
        <f>Data!I1298</f>
        <v>30000.637384999998</v>
      </c>
      <c r="I42" s="474" t="s">
        <v>406</v>
      </c>
    </row>
    <row r="43" spans="1:9" ht="21" x14ac:dyDescent="0.4">
      <c r="A43" s="468"/>
      <c r="B43" s="129" t="s">
        <v>439</v>
      </c>
      <c r="C43" s="471" t="s">
        <v>421</v>
      </c>
      <c r="D43" s="473">
        <v>0.4</v>
      </c>
      <c r="E43" s="472">
        <v>0.4</v>
      </c>
      <c r="F43" s="477">
        <v>1</v>
      </c>
      <c r="G43" s="456">
        <f t="shared" si="1"/>
        <v>0.13</v>
      </c>
      <c r="H43" s="456">
        <f>Data!I1299</f>
        <v>30152.881484999998</v>
      </c>
      <c r="I43" s="474" t="s">
        <v>406</v>
      </c>
    </row>
    <row r="44" spans="1:9" ht="21" x14ac:dyDescent="0.4">
      <c r="A44" s="468"/>
      <c r="B44" s="129" t="s">
        <v>440</v>
      </c>
      <c r="C44" s="471" t="s">
        <v>421</v>
      </c>
      <c r="D44" s="473">
        <v>0.4</v>
      </c>
      <c r="E44" s="472">
        <v>0.4</v>
      </c>
      <c r="F44" s="477">
        <v>1</v>
      </c>
      <c r="G44" s="456">
        <f t="shared" si="1"/>
        <v>0.13</v>
      </c>
      <c r="H44" s="456">
        <f>Data!I1300</f>
        <v>30305.125584999998</v>
      </c>
      <c r="I44" s="474" t="s">
        <v>406</v>
      </c>
    </row>
    <row r="45" spans="1:9" ht="21" x14ac:dyDescent="0.4">
      <c r="A45" s="468"/>
      <c r="B45" s="129" t="s">
        <v>441</v>
      </c>
      <c r="C45" s="471" t="s">
        <v>421</v>
      </c>
      <c r="D45" s="473">
        <v>0.4</v>
      </c>
      <c r="E45" s="472">
        <v>0.4</v>
      </c>
      <c r="F45" s="477">
        <v>1</v>
      </c>
      <c r="G45" s="456">
        <f t="shared" si="1"/>
        <v>0.13</v>
      </c>
      <c r="H45" s="456">
        <f>Data!I1301</f>
        <v>30457.369684999998</v>
      </c>
      <c r="I45" s="474" t="s">
        <v>406</v>
      </c>
    </row>
    <row r="46" spans="1:9" ht="21" x14ac:dyDescent="0.4">
      <c r="A46" s="468"/>
      <c r="B46" s="129" t="s">
        <v>442</v>
      </c>
      <c r="C46" s="471" t="s">
        <v>421</v>
      </c>
      <c r="D46" s="473">
        <v>0.4</v>
      </c>
      <c r="E46" s="472">
        <v>0.4</v>
      </c>
      <c r="F46" s="477">
        <v>1</v>
      </c>
      <c r="G46" s="456">
        <f t="shared" si="1"/>
        <v>0.13</v>
      </c>
      <c r="H46" s="456">
        <f>Data!I1302</f>
        <v>30609.613784999998</v>
      </c>
      <c r="I46" s="474" t="s">
        <v>406</v>
      </c>
    </row>
    <row r="47" spans="1:9" ht="21" x14ac:dyDescent="0.4">
      <c r="A47" s="468"/>
      <c r="B47" s="129" t="s">
        <v>443</v>
      </c>
      <c r="C47" s="471" t="s">
        <v>421</v>
      </c>
      <c r="D47" s="473">
        <v>0.4</v>
      </c>
      <c r="E47" s="472">
        <v>0.4</v>
      </c>
      <c r="F47" s="477">
        <v>1</v>
      </c>
      <c r="G47" s="456">
        <f t="shared" si="1"/>
        <v>0.13</v>
      </c>
      <c r="H47" s="456">
        <f>Data!I1303</f>
        <v>30761.857884999998</v>
      </c>
      <c r="I47" s="474" t="s">
        <v>406</v>
      </c>
    </row>
    <row r="48" spans="1:9" ht="21" x14ac:dyDescent="0.4">
      <c r="A48" s="468"/>
      <c r="B48" s="129" t="s">
        <v>444</v>
      </c>
      <c r="C48" s="471" t="s">
        <v>421</v>
      </c>
      <c r="D48" s="473">
        <v>0.4</v>
      </c>
      <c r="E48" s="472">
        <v>0.4</v>
      </c>
      <c r="F48" s="477">
        <v>1</v>
      </c>
      <c r="G48" s="456">
        <f t="shared" si="1"/>
        <v>0.13</v>
      </c>
      <c r="H48" s="456">
        <f>Data!I1304</f>
        <v>30914.101984999998</v>
      </c>
      <c r="I48" s="474" t="s">
        <v>406</v>
      </c>
    </row>
    <row r="49" spans="1:10" ht="21" x14ac:dyDescent="0.4">
      <c r="A49" s="468"/>
      <c r="B49" s="129" t="s">
        <v>445</v>
      </c>
      <c r="C49" s="471" t="s">
        <v>421</v>
      </c>
      <c r="D49" s="473">
        <v>0.4</v>
      </c>
      <c r="E49" s="472">
        <v>0.4</v>
      </c>
      <c r="F49" s="477">
        <v>1</v>
      </c>
      <c r="G49" s="456">
        <f t="shared" si="1"/>
        <v>0.13</v>
      </c>
      <c r="H49" s="456">
        <f>Data!I1305</f>
        <v>31066.346084999997</v>
      </c>
      <c r="I49" s="474" t="s">
        <v>406</v>
      </c>
    </row>
    <row r="50" spans="1:10" ht="21" x14ac:dyDescent="0.4">
      <c r="A50" s="468"/>
      <c r="B50" s="129" t="s">
        <v>446</v>
      </c>
      <c r="C50" s="471" t="s">
        <v>421</v>
      </c>
      <c r="D50" s="473">
        <v>0.4</v>
      </c>
      <c r="E50" s="472">
        <v>0.4</v>
      </c>
      <c r="F50" s="477">
        <v>1</v>
      </c>
      <c r="G50" s="456">
        <f t="shared" si="1"/>
        <v>0.13</v>
      </c>
      <c r="H50" s="456">
        <f>Data!I1306</f>
        <v>31218.590184999997</v>
      </c>
      <c r="I50" s="474" t="s">
        <v>406</v>
      </c>
    </row>
    <row r="51" spans="1:10" ht="21" x14ac:dyDescent="0.4">
      <c r="A51" s="468"/>
      <c r="B51" s="129" t="s">
        <v>447</v>
      </c>
      <c r="C51" s="471" t="s">
        <v>421</v>
      </c>
      <c r="D51" s="473">
        <v>0.4</v>
      </c>
      <c r="E51" s="472">
        <v>0.4</v>
      </c>
      <c r="F51" s="477">
        <v>1</v>
      </c>
      <c r="G51" s="456">
        <f t="shared" si="1"/>
        <v>0.13</v>
      </c>
      <c r="H51" s="456">
        <f>Data!I1307</f>
        <v>31370.834284999997</v>
      </c>
      <c r="I51" s="474" t="s">
        <v>406</v>
      </c>
    </row>
    <row r="52" spans="1:10" ht="21" x14ac:dyDescent="0.4">
      <c r="A52" s="468"/>
      <c r="B52" s="129" t="s">
        <v>448</v>
      </c>
      <c r="C52" s="471" t="s">
        <v>421</v>
      </c>
      <c r="D52" s="473">
        <v>0.4</v>
      </c>
      <c r="E52" s="472">
        <v>0.4</v>
      </c>
      <c r="F52" s="477">
        <v>1</v>
      </c>
      <c r="G52" s="456">
        <f t="shared" si="1"/>
        <v>0.13</v>
      </c>
      <c r="H52" s="456">
        <f>Data!I1308</f>
        <v>31523.078384999997</v>
      </c>
      <c r="I52" s="474" t="s">
        <v>406</v>
      </c>
    </row>
    <row r="53" spans="1:10" ht="21" x14ac:dyDescent="0.4">
      <c r="A53" s="468"/>
      <c r="B53" s="129" t="s">
        <v>449</v>
      </c>
      <c r="C53" s="471" t="s">
        <v>421</v>
      </c>
      <c r="D53" s="473">
        <v>0.4</v>
      </c>
      <c r="E53" s="472">
        <v>0.4</v>
      </c>
      <c r="F53" s="477">
        <v>1</v>
      </c>
      <c r="G53" s="456">
        <f t="shared" si="1"/>
        <v>0.13</v>
      </c>
      <c r="H53" s="456">
        <f>Data!I1309</f>
        <v>31675.322484999997</v>
      </c>
      <c r="I53" s="474" t="s">
        <v>406</v>
      </c>
    </row>
    <row r="54" spans="1:10" ht="21" x14ac:dyDescent="0.4">
      <c r="A54" s="468"/>
      <c r="B54" s="129" t="s">
        <v>450</v>
      </c>
      <c r="C54" s="471" t="s">
        <v>421</v>
      </c>
      <c r="D54" s="473">
        <v>0.4</v>
      </c>
      <c r="E54" s="472">
        <v>0.4</v>
      </c>
      <c r="F54" s="477">
        <v>1</v>
      </c>
      <c r="G54" s="456">
        <f t="shared" si="1"/>
        <v>0.13</v>
      </c>
      <c r="H54" s="456">
        <f>Data!I1310</f>
        <v>31827.566584999997</v>
      </c>
      <c r="I54" s="474" t="s">
        <v>406</v>
      </c>
    </row>
    <row r="55" spans="1:10" ht="21" x14ac:dyDescent="0.4">
      <c r="A55" s="468"/>
      <c r="B55" s="129" t="s">
        <v>451</v>
      </c>
      <c r="C55" s="471" t="s">
        <v>421</v>
      </c>
      <c r="D55" s="473">
        <v>0.4</v>
      </c>
      <c r="E55" s="472">
        <v>0.4</v>
      </c>
      <c r="F55" s="477">
        <v>0.4</v>
      </c>
      <c r="G55" s="456">
        <f t="shared" si="1"/>
        <v>0.05</v>
      </c>
      <c r="H55" s="456">
        <f>Data!I1311</f>
        <v>31979.810684999997</v>
      </c>
      <c r="I55" s="474" t="s">
        <v>406</v>
      </c>
    </row>
    <row r="56" spans="1:10" ht="19.5" x14ac:dyDescent="0.4">
      <c r="A56" s="468"/>
      <c r="B56" s="469"/>
      <c r="C56" s="471"/>
      <c r="D56" s="473"/>
      <c r="E56" s="472"/>
      <c r="F56" s="477"/>
      <c r="G56" s="456"/>
      <c r="H56" s="456"/>
      <c r="I56" s="474"/>
    </row>
    <row r="57" spans="1:10" x14ac:dyDescent="0.3">
      <c r="A57" s="468" t="s">
        <v>452</v>
      </c>
      <c r="B57" s="469" t="s">
        <v>453</v>
      </c>
      <c r="H57" s="456"/>
      <c r="I57" s="474"/>
    </row>
    <row r="58" spans="1:10" ht="16.5" x14ac:dyDescent="0.35">
      <c r="A58" s="468"/>
      <c r="B58" s="469" t="s">
        <v>454</v>
      </c>
      <c r="H58" s="456"/>
      <c r="I58" s="474"/>
    </row>
    <row r="59" spans="1:10" ht="16.5" x14ac:dyDescent="0.35">
      <c r="A59" s="468"/>
      <c r="B59" s="469" t="s">
        <v>455</v>
      </c>
      <c r="E59" s="469"/>
      <c r="G59" s="456"/>
      <c r="H59" s="456"/>
      <c r="I59" s="474"/>
    </row>
    <row r="60" spans="1:10" x14ac:dyDescent="0.3">
      <c r="A60" s="468"/>
      <c r="B60" s="480"/>
      <c r="C60" s="481">
        <v>2</v>
      </c>
      <c r="D60" s="473">
        <f>2-0.2-0.2</f>
        <v>1.6</v>
      </c>
      <c r="E60" s="472">
        <v>0.3</v>
      </c>
      <c r="F60" s="456">
        <v>0.3</v>
      </c>
      <c r="G60" s="456">
        <f>ROUND(C60*D60*E60*F60,2)</f>
        <v>0.28999999999999998</v>
      </c>
      <c r="H60" s="456">
        <f>Data!I1361</f>
        <v>25588.7</v>
      </c>
      <c r="I60" s="474" t="s">
        <v>406</v>
      </c>
      <c r="J60" s="456">
        <f>ROUND(H60*G60,0)</f>
        <v>7421</v>
      </c>
    </row>
    <row r="61" spans="1:10" x14ac:dyDescent="0.3">
      <c r="A61" s="468"/>
      <c r="C61" s="480"/>
      <c r="D61" s="469"/>
      <c r="E61" s="456"/>
      <c r="F61" s="456"/>
      <c r="G61" s="456"/>
      <c r="H61" s="456"/>
      <c r="I61" s="474"/>
    </row>
    <row r="62" spans="1:10" ht="16.5" x14ac:dyDescent="0.35">
      <c r="A62" s="468"/>
      <c r="B62" s="482" t="s">
        <v>456</v>
      </c>
      <c r="C62" s="480">
        <v>1</v>
      </c>
      <c r="D62" s="478">
        <f>+$D$60</f>
        <v>1.6</v>
      </c>
      <c r="E62" s="473">
        <f>+$E$60</f>
        <v>0.3</v>
      </c>
      <c r="F62" s="456">
        <v>0.3</v>
      </c>
      <c r="G62" s="456">
        <f>ROUND(C62*D62*E62*F62,2)</f>
        <v>0.14000000000000001</v>
      </c>
      <c r="H62" s="456">
        <f>Data!I1362</f>
        <v>26045.4323</v>
      </c>
      <c r="I62" s="474" t="s">
        <v>406</v>
      </c>
      <c r="J62" s="456">
        <f>ROUND(H62*G62,0)</f>
        <v>3646</v>
      </c>
    </row>
    <row r="63" spans="1:10" x14ac:dyDescent="0.3">
      <c r="A63" s="468"/>
      <c r="B63" s="478"/>
      <c r="C63" s="480"/>
      <c r="D63" s="478"/>
      <c r="E63" s="473"/>
      <c r="F63" s="456"/>
      <c r="G63" s="456"/>
      <c r="H63" s="456"/>
      <c r="I63" s="474"/>
    </row>
    <row r="64" spans="1:10" ht="16.5" x14ac:dyDescent="0.35">
      <c r="A64" s="468"/>
      <c r="B64" s="482" t="s">
        <v>457</v>
      </c>
      <c r="C64" s="480">
        <v>1</v>
      </c>
      <c r="D64" s="478">
        <f>+$D$60</f>
        <v>1.6</v>
      </c>
      <c r="E64" s="473">
        <f>+$E$60</f>
        <v>0.3</v>
      </c>
      <c r="F64" s="456">
        <v>0.3</v>
      </c>
      <c r="G64" s="456">
        <f>ROUND(C64*D64*E64*F64,2)</f>
        <v>0.14000000000000001</v>
      </c>
      <c r="H64" s="456">
        <f>Data!I1363</f>
        <v>26502.1646</v>
      </c>
      <c r="I64" s="474" t="s">
        <v>406</v>
      </c>
      <c r="J64" s="456">
        <f>ROUND(H64*G64,0)</f>
        <v>3710</v>
      </c>
    </row>
    <row r="65" spans="1:10" x14ac:dyDescent="0.3">
      <c r="A65" s="468"/>
      <c r="B65" s="478"/>
      <c r="C65" s="480"/>
      <c r="D65" s="478"/>
      <c r="E65" s="473"/>
      <c r="F65" s="456"/>
      <c r="G65" s="456"/>
      <c r="H65" s="456"/>
      <c r="I65" s="474"/>
    </row>
    <row r="66" spans="1:10" ht="16.5" x14ac:dyDescent="0.35">
      <c r="A66" s="468"/>
      <c r="B66" s="482" t="s">
        <v>458</v>
      </c>
      <c r="C66" s="480">
        <v>1</v>
      </c>
      <c r="D66" s="478">
        <f>+$D$60</f>
        <v>1.6</v>
      </c>
      <c r="E66" s="473">
        <f>+$E$60</f>
        <v>0.3</v>
      </c>
      <c r="F66" s="456">
        <v>0.3</v>
      </c>
      <c r="G66" s="456">
        <f>ROUND(C66*D66*E66*F66,2)</f>
        <v>0.14000000000000001</v>
      </c>
      <c r="H66" s="456">
        <f>Data!I1364</f>
        <v>26958.8969</v>
      </c>
      <c r="I66" s="474" t="s">
        <v>406</v>
      </c>
      <c r="J66" s="456">
        <f>ROUND(H66*G66,0)</f>
        <v>3774</v>
      </c>
    </row>
    <row r="67" spans="1:10" x14ac:dyDescent="0.3">
      <c r="A67" s="468"/>
      <c r="B67" s="478"/>
      <c r="C67" s="480"/>
      <c r="D67" s="478"/>
      <c r="E67" s="473"/>
      <c r="F67" s="456"/>
      <c r="G67" s="456"/>
      <c r="H67" s="456"/>
      <c r="I67" s="474"/>
    </row>
    <row r="68" spans="1:10" ht="16.5" x14ac:dyDescent="0.35">
      <c r="A68" s="468"/>
      <c r="B68" s="482" t="s">
        <v>459</v>
      </c>
      <c r="C68" s="480">
        <v>1</v>
      </c>
      <c r="D68" s="478">
        <f>+$D$60</f>
        <v>1.6</v>
      </c>
      <c r="E68" s="473">
        <f>+$E$60</f>
        <v>0.3</v>
      </c>
      <c r="F68" s="456">
        <v>0.3</v>
      </c>
      <c r="G68" s="456">
        <f>ROUND(C68*D68*E68*F68,2)</f>
        <v>0.14000000000000001</v>
      </c>
      <c r="H68" s="456">
        <f>Data!I1365</f>
        <v>27415.629199999999</v>
      </c>
      <c r="I68" s="474" t="s">
        <v>406</v>
      </c>
    </row>
    <row r="69" spans="1:10" x14ac:dyDescent="0.3">
      <c r="A69" s="468"/>
      <c r="B69" s="478"/>
      <c r="C69" s="480"/>
      <c r="D69" s="478"/>
      <c r="E69" s="473"/>
      <c r="F69" s="477"/>
      <c r="G69" s="456"/>
      <c r="H69" s="456"/>
      <c r="I69" s="474"/>
    </row>
    <row r="70" spans="1:10" ht="16.5" x14ac:dyDescent="0.35">
      <c r="A70" s="468"/>
      <c r="B70" s="482" t="s">
        <v>460</v>
      </c>
      <c r="C70" s="480">
        <v>1</v>
      </c>
      <c r="D70" s="478">
        <f>+$D$60</f>
        <v>1.6</v>
      </c>
      <c r="E70" s="473">
        <f>+$E$60</f>
        <v>0.3</v>
      </c>
      <c r="F70" s="456">
        <v>0.3</v>
      </c>
      <c r="G70" s="456">
        <f>ROUND(C70*D70*E70*F70,2)</f>
        <v>0.14000000000000001</v>
      </c>
      <c r="H70" s="456">
        <f>Data!I1366</f>
        <v>27872.361499999999</v>
      </c>
      <c r="I70" s="474" t="s">
        <v>406</v>
      </c>
    </row>
    <row r="71" spans="1:10" ht="16.5" x14ac:dyDescent="0.35">
      <c r="A71" s="468"/>
      <c r="B71" s="483"/>
      <c r="C71" s="480"/>
      <c r="D71" s="478"/>
      <c r="E71" s="473"/>
      <c r="F71" s="477"/>
      <c r="G71" s="456"/>
      <c r="H71" s="456"/>
      <c r="I71" s="474"/>
    </row>
    <row r="72" spans="1:10" ht="16.5" x14ac:dyDescent="0.35">
      <c r="A72" s="468"/>
      <c r="B72" s="482" t="s">
        <v>461</v>
      </c>
      <c r="C72" s="480">
        <v>1</v>
      </c>
      <c r="D72" s="478">
        <f>+$D$60</f>
        <v>1.6</v>
      </c>
      <c r="E72" s="473">
        <f>+$E$60</f>
        <v>0.3</v>
      </c>
      <c r="F72" s="456">
        <v>0.3</v>
      </c>
      <c r="G72" s="456">
        <f>ROUND(C72*D72*E72*F72,2)</f>
        <v>0.14000000000000001</v>
      </c>
      <c r="H72" s="456">
        <f>Data!I1367</f>
        <v>28329.093799999999</v>
      </c>
      <c r="I72" s="474" t="s">
        <v>406</v>
      </c>
    </row>
    <row r="73" spans="1:10" ht="16.5" x14ac:dyDescent="0.35">
      <c r="A73" s="468"/>
      <c r="B73" s="483"/>
      <c r="C73" s="480"/>
      <c r="D73" s="478"/>
      <c r="E73" s="473"/>
      <c r="F73" s="456"/>
      <c r="G73" s="456"/>
      <c r="H73" s="456"/>
      <c r="I73" s="474"/>
    </row>
    <row r="74" spans="1:10" ht="16.5" x14ac:dyDescent="0.35">
      <c r="A74" s="468"/>
      <c r="B74" s="482" t="s">
        <v>462</v>
      </c>
      <c r="C74" s="480">
        <v>1</v>
      </c>
      <c r="D74" s="478">
        <f>+$D$60</f>
        <v>1.6</v>
      </c>
      <c r="E74" s="473">
        <f>+$E$60</f>
        <v>0.3</v>
      </c>
      <c r="F74" s="456">
        <v>0.3</v>
      </c>
      <c r="G74" s="456">
        <f>ROUND(C74*D74*E74*F74,2)</f>
        <v>0.14000000000000001</v>
      </c>
      <c r="H74" s="456">
        <f>Data!I1368</f>
        <v>28785.826099999998</v>
      </c>
      <c r="I74" s="474" t="s">
        <v>406</v>
      </c>
    </row>
    <row r="75" spans="1:10" ht="16.5" x14ac:dyDescent="0.35">
      <c r="A75" s="468"/>
      <c r="B75" s="482" t="s">
        <v>463</v>
      </c>
      <c r="C75" s="480">
        <v>1</v>
      </c>
      <c r="D75" s="478">
        <f>+$D$60</f>
        <v>1.6</v>
      </c>
      <c r="E75" s="473">
        <f>+$E$60</f>
        <v>0.3</v>
      </c>
      <c r="F75" s="456">
        <v>0.3</v>
      </c>
      <c r="G75" s="456">
        <f>ROUND(C75*D75*E75*F75,2)</f>
        <v>0.14000000000000001</v>
      </c>
      <c r="H75" s="456">
        <f>Data!I1369</f>
        <v>29242.558399999998</v>
      </c>
      <c r="I75" s="474" t="s">
        <v>406</v>
      </c>
    </row>
    <row r="76" spans="1:10" ht="16.5" x14ac:dyDescent="0.35">
      <c r="A76" s="468"/>
      <c r="B76" s="482" t="s">
        <v>464</v>
      </c>
      <c r="C76" s="480">
        <v>1</v>
      </c>
      <c r="D76" s="478">
        <f>+$D$60</f>
        <v>1.6</v>
      </c>
      <c r="E76" s="473">
        <f>+$E$60</f>
        <v>0.3</v>
      </c>
      <c r="F76" s="456">
        <v>0.3</v>
      </c>
      <c r="G76" s="456">
        <f>ROUND(C76*D76*E76*F76,2)</f>
        <v>0.14000000000000001</v>
      </c>
      <c r="H76" s="456">
        <f>Data!I1370</f>
        <v>29699.290699999998</v>
      </c>
      <c r="I76" s="474" t="s">
        <v>406</v>
      </c>
    </row>
    <row r="77" spans="1:10" ht="16.5" x14ac:dyDescent="0.35">
      <c r="A77" s="468"/>
      <c r="B77" s="482"/>
      <c r="C77" s="480"/>
      <c r="D77" s="478"/>
      <c r="E77" s="473"/>
      <c r="F77" s="456"/>
      <c r="G77" s="456"/>
      <c r="H77" s="456"/>
      <c r="I77" s="474"/>
    </row>
    <row r="78" spans="1:10" x14ac:dyDescent="0.3">
      <c r="A78" s="468"/>
      <c r="B78" s="478"/>
      <c r="C78" s="480"/>
      <c r="D78" s="478"/>
      <c r="E78" s="473"/>
      <c r="F78" s="456"/>
      <c r="G78" s="456"/>
      <c r="H78" s="456"/>
      <c r="I78" s="474"/>
    </row>
    <row r="79" spans="1:10" x14ac:dyDescent="0.3">
      <c r="A79" s="468" t="s">
        <v>465</v>
      </c>
      <c r="B79" s="469" t="s">
        <v>466</v>
      </c>
      <c r="H79" s="456"/>
      <c r="I79" s="474"/>
    </row>
    <row r="80" spans="1:10" x14ac:dyDescent="0.3">
      <c r="A80" s="468"/>
      <c r="B80" s="455" t="s">
        <v>416</v>
      </c>
      <c r="H80" s="456"/>
      <c r="I80" s="474"/>
    </row>
    <row r="81" spans="1:10" ht="16.5" x14ac:dyDescent="0.35">
      <c r="A81" s="468"/>
      <c r="B81" s="469" t="s">
        <v>467</v>
      </c>
      <c r="H81" s="456"/>
      <c r="I81" s="474"/>
    </row>
    <row r="82" spans="1:10" ht="16.5" x14ac:dyDescent="0.35">
      <c r="A82" s="468"/>
      <c r="B82" s="469" t="s">
        <v>455</v>
      </c>
      <c r="E82" s="469"/>
      <c r="G82" s="456"/>
      <c r="H82" s="456"/>
      <c r="I82" s="474"/>
    </row>
    <row r="83" spans="1:10" x14ac:dyDescent="0.3">
      <c r="A83" s="468"/>
      <c r="B83" s="480"/>
      <c r="C83" s="481">
        <v>34</v>
      </c>
      <c r="D83" s="473">
        <f>1-0.2</f>
        <v>0.8</v>
      </c>
      <c r="E83" s="473">
        <f>(0.085+0.416)/2</f>
        <v>0.2505</v>
      </c>
      <c r="F83" s="456">
        <v>0.05</v>
      </c>
      <c r="G83" s="456">
        <f>ROUND(C83*D83*E83*F83,2)</f>
        <v>0.34</v>
      </c>
      <c r="H83" s="456">
        <f>Data!I1321</f>
        <v>21773.6096</v>
      </c>
      <c r="I83" s="474" t="s">
        <v>406</v>
      </c>
      <c r="J83" s="456">
        <f>ROUND(H83*G83,0)</f>
        <v>7403</v>
      </c>
    </row>
    <row r="84" spans="1:10" x14ac:dyDescent="0.3">
      <c r="A84" s="468"/>
      <c r="C84" s="480"/>
      <c r="D84" s="469"/>
      <c r="E84" s="456"/>
      <c r="F84" s="456"/>
      <c r="G84" s="456"/>
      <c r="H84" s="456"/>
      <c r="I84" s="474"/>
    </row>
    <row r="85" spans="1:10" ht="16.5" x14ac:dyDescent="0.35">
      <c r="A85" s="468"/>
      <c r="B85" s="482" t="s">
        <v>456</v>
      </c>
      <c r="C85" s="480">
        <f>3/0.15</f>
        <v>20</v>
      </c>
      <c r="D85" s="473">
        <f>1-0.2</f>
        <v>0.8</v>
      </c>
      <c r="E85" s="473">
        <f>(0.085+0.416)/2</f>
        <v>0.2505</v>
      </c>
      <c r="F85" s="456">
        <v>0.05</v>
      </c>
      <c r="G85" s="456">
        <f>ROUND(C85*D85*E85*F85,2)</f>
        <v>0.2</v>
      </c>
      <c r="H85" s="456">
        <f>Data!I1322</f>
        <v>22230.341899999999</v>
      </c>
      <c r="I85" s="474" t="s">
        <v>406</v>
      </c>
      <c r="J85" s="456">
        <f>ROUND(H85*G85,0)</f>
        <v>4446</v>
      </c>
    </row>
    <row r="86" spans="1:10" x14ac:dyDescent="0.3">
      <c r="A86" s="468"/>
      <c r="B86" s="478"/>
      <c r="C86" s="480"/>
      <c r="D86" s="478"/>
      <c r="E86" s="473"/>
      <c r="F86" s="456"/>
      <c r="G86" s="456"/>
      <c r="H86" s="456"/>
      <c r="I86" s="474"/>
    </row>
    <row r="87" spans="1:10" ht="16.5" x14ac:dyDescent="0.35">
      <c r="A87" s="468"/>
      <c r="B87" s="482" t="s">
        <v>457</v>
      </c>
      <c r="C87" s="480">
        <v>20</v>
      </c>
      <c r="D87" s="473">
        <f>1-0.2</f>
        <v>0.8</v>
      </c>
      <c r="E87" s="473">
        <f>(0.085+0.416)/2</f>
        <v>0.2505</v>
      </c>
      <c r="F87" s="456">
        <v>0.05</v>
      </c>
      <c r="G87" s="456">
        <f>ROUND(C87*D87*E87*F87,2)</f>
        <v>0.2</v>
      </c>
      <c r="H87" s="456">
        <f>Data!I1323</f>
        <v>22687.074199999999</v>
      </c>
      <c r="I87" s="474" t="s">
        <v>406</v>
      </c>
      <c r="J87" s="456">
        <f>ROUND(H87*G87,0)</f>
        <v>4537</v>
      </c>
    </row>
    <row r="88" spans="1:10" x14ac:dyDescent="0.3">
      <c r="A88" s="468"/>
      <c r="B88" s="478"/>
      <c r="C88" s="480"/>
      <c r="D88" s="478"/>
      <c r="E88" s="473"/>
      <c r="F88" s="456"/>
      <c r="G88" s="456"/>
      <c r="H88" s="456"/>
      <c r="I88" s="474"/>
    </row>
    <row r="89" spans="1:10" ht="16.5" x14ac:dyDescent="0.35">
      <c r="A89" s="468"/>
      <c r="B89" s="482" t="s">
        <v>458</v>
      </c>
      <c r="C89" s="480">
        <v>20</v>
      </c>
      <c r="D89" s="473">
        <f>1-0.2</f>
        <v>0.8</v>
      </c>
      <c r="E89" s="473">
        <f>(0.085+0.416)/2</f>
        <v>0.2505</v>
      </c>
      <c r="F89" s="456">
        <v>0.05</v>
      </c>
      <c r="G89" s="456">
        <f>ROUND(C89*D89*E89*F89,2)</f>
        <v>0.2</v>
      </c>
      <c r="H89" s="456">
        <f>Data!I1324</f>
        <v>23143.806499999999</v>
      </c>
      <c r="I89" s="474" t="s">
        <v>406</v>
      </c>
      <c r="J89" s="456">
        <f>ROUND(H89*G89,0)</f>
        <v>4629</v>
      </c>
    </row>
    <row r="90" spans="1:10" x14ac:dyDescent="0.3">
      <c r="A90" s="468"/>
      <c r="B90" s="478"/>
      <c r="C90" s="480"/>
      <c r="D90" s="478"/>
      <c r="E90" s="473"/>
      <c r="F90" s="456"/>
      <c r="G90" s="456"/>
      <c r="H90" s="456"/>
      <c r="I90" s="474"/>
    </row>
    <row r="91" spans="1:10" ht="16.5" x14ac:dyDescent="0.35">
      <c r="A91" s="468"/>
      <c r="B91" s="482" t="s">
        <v>459</v>
      </c>
      <c r="C91" s="480">
        <v>20</v>
      </c>
      <c r="D91" s="473">
        <f>1-0.2</f>
        <v>0.8</v>
      </c>
      <c r="E91" s="473">
        <f>(0.085+0.416)/2</f>
        <v>0.2505</v>
      </c>
      <c r="F91" s="456">
        <v>0.05</v>
      </c>
      <c r="G91" s="456">
        <f>ROUND(C91*D91*E91*F91,2)</f>
        <v>0.2</v>
      </c>
      <c r="H91" s="456">
        <f>Data!I1325</f>
        <v>23600.538799999998</v>
      </c>
      <c r="I91" s="474" t="s">
        <v>406</v>
      </c>
    </row>
    <row r="92" spans="1:10" x14ac:dyDescent="0.3">
      <c r="A92" s="468"/>
      <c r="B92" s="478"/>
      <c r="C92" s="480"/>
      <c r="D92" s="478"/>
      <c r="E92" s="473"/>
      <c r="F92" s="477"/>
      <c r="G92" s="456"/>
      <c r="H92" s="456"/>
      <c r="I92" s="474"/>
    </row>
    <row r="93" spans="1:10" ht="16.5" x14ac:dyDescent="0.35">
      <c r="A93" s="468"/>
      <c r="B93" s="482" t="s">
        <v>460</v>
      </c>
      <c r="C93" s="480">
        <v>20</v>
      </c>
      <c r="D93" s="473">
        <f>1-0.2</f>
        <v>0.8</v>
      </c>
      <c r="E93" s="473">
        <f>(0.085+0.416)/2</f>
        <v>0.2505</v>
      </c>
      <c r="F93" s="456">
        <v>0.05</v>
      </c>
      <c r="G93" s="456">
        <f>ROUND(C93*D93*E93*F93,2)</f>
        <v>0.2</v>
      </c>
      <c r="H93" s="456">
        <f>Data!I1326</f>
        <v>24057.271099999998</v>
      </c>
      <c r="I93" s="474" t="s">
        <v>406</v>
      </c>
    </row>
    <row r="94" spans="1:10" ht="16.5" x14ac:dyDescent="0.35">
      <c r="A94" s="468"/>
      <c r="B94" s="483"/>
      <c r="C94" s="480"/>
      <c r="D94" s="478"/>
      <c r="E94" s="473"/>
      <c r="F94" s="477"/>
      <c r="G94" s="456"/>
      <c r="H94" s="456"/>
      <c r="I94" s="474"/>
    </row>
    <row r="95" spans="1:10" ht="16.5" x14ac:dyDescent="0.35">
      <c r="A95" s="468"/>
      <c r="B95" s="482" t="s">
        <v>461</v>
      </c>
      <c r="C95" s="480">
        <v>20</v>
      </c>
      <c r="D95" s="473">
        <f>1-0.2</f>
        <v>0.8</v>
      </c>
      <c r="E95" s="473">
        <f>(0.085+0.416)/2</f>
        <v>0.2505</v>
      </c>
      <c r="F95" s="456">
        <v>0.05</v>
      </c>
      <c r="G95" s="456">
        <f>ROUND(C95*D95*E95*F95,2)</f>
        <v>0.2</v>
      </c>
      <c r="H95" s="456">
        <f>Data!I1327</f>
        <v>24514.003399999998</v>
      </c>
      <c r="I95" s="474" t="s">
        <v>406</v>
      </c>
    </row>
    <row r="96" spans="1:10" ht="16.5" x14ac:dyDescent="0.35">
      <c r="A96" s="468"/>
      <c r="B96" s="483"/>
      <c r="C96" s="480"/>
      <c r="D96" s="478"/>
      <c r="E96" s="473"/>
      <c r="F96" s="456"/>
      <c r="G96" s="456"/>
      <c r="H96" s="456"/>
      <c r="I96" s="474"/>
    </row>
    <row r="97" spans="1:10" ht="16.5" x14ac:dyDescent="0.35">
      <c r="A97" s="468"/>
      <c r="B97" s="482" t="s">
        <v>468</v>
      </c>
      <c r="C97" s="480">
        <v>20</v>
      </c>
      <c r="D97" s="473">
        <f>1-0.2</f>
        <v>0.8</v>
      </c>
      <c r="E97" s="473">
        <f>(0.085+0.416)/2</f>
        <v>0.2505</v>
      </c>
      <c r="F97" s="456">
        <v>0.05</v>
      </c>
      <c r="G97" s="456">
        <f>ROUND(C97*D97*E97*F97,2)</f>
        <v>0.2</v>
      </c>
      <c r="H97" s="456">
        <f>Data!I1328</f>
        <v>24970.735699999997</v>
      </c>
      <c r="I97" s="474" t="s">
        <v>406</v>
      </c>
    </row>
    <row r="98" spans="1:10" ht="16.5" x14ac:dyDescent="0.35">
      <c r="A98" s="468"/>
      <c r="B98" s="482"/>
      <c r="C98" s="480"/>
      <c r="D98" s="473"/>
      <c r="E98" s="473"/>
      <c r="F98" s="456"/>
      <c r="G98" s="456"/>
      <c r="H98" s="456"/>
      <c r="I98" s="474"/>
    </row>
    <row r="99" spans="1:10" ht="16.5" x14ac:dyDescent="0.35">
      <c r="A99" s="468"/>
      <c r="B99" s="482" t="s">
        <v>469</v>
      </c>
      <c r="C99" s="480">
        <v>20</v>
      </c>
      <c r="D99" s="473">
        <f>1-0.2</f>
        <v>0.8</v>
      </c>
      <c r="E99" s="473">
        <f>(0.085+0.416)/2</f>
        <v>0.2505</v>
      </c>
      <c r="F99" s="456">
        <v>0.05</v>
      </c>
      <c r="G99" s="456">
        <f>ROUND(C99*D99*E99*F99,2)</f>
        <v>0.2</v>
      </c>
      <c r="H99" s="456">
        <f>Data!I1329</f>
        <v>25427.467999999997</v>
      </c>
      <c r="I99" s="474" t="s">
        <v>406</v>
      </c>
    </row>
    <row r="100" spans="1:10" ht="16.5" x14ac:dyDescent="0.35">
      <c r="A100" s="468"/>
      <c r="B100" s="482" t="s">
        <v>470</v>
      </c>
      <c r="C100" s="480">
        <v>20</v>
      </c>
      <c r="D100" s="473">
        <f>1-0.2</f>
        <v>0.8</v>
      </c>
      <c r="E100" s="473">
        <f>(0.085+0.416)/2</f>
        <v>0.2505</v>
      </c>
      <c r="F100" s="456">
        <v>0.05</v>
      </c>
      <c r="G100" s="456">
        <f>ROUND(C100*D100*E100*F100,2)</f>
        <v>0.2</v>
      </c>
      <c r="H100" s="456">
        <f>Data!I1330</f>
        <v>25884.200299999997</v>
      </c>
      <c r="I100" s="474" t="s">
        <v>406</v>
      </c>
    </row>
    <row r="101" spans="1:10" ht="16.5" x14ac:dyDescent="0.35">
      <c r="A101" s="468"/>
      <c r="B101" s="482"/>
      <c r="C101" s="480"/>
      <c r="D101" s="473"/>
      <c r="E101" s="473"/>
      <c r="F101" s="456"/>
      <c r="G101" s="456"/>
      <c r="H101" s="456"/>
      <c r="I101" s="474"/>
    </row>
    <row r="102" spans="1:10" ht="16.5" x14ac:dyDescent="0.35">
      <c r="A102" s="468"/>
      <c r="B102" s="482" t="s">
        <v>471</v>
      </c>
      <c r="C102" s="480">
        <v>7</v>
      </c>
      <c r="D102" s="473">
        <f>1-0.2</f>
        <v>0.8</v>
      </c>
      <c r="E102" s="473">
        <f>(0.085+0.416)/2</f>
        <v>0.2505</v>
      </c>
      <c r="F102" s="456">
        <v>0.05</v>
      </c>
      <c r="G102" s="456">
        <f>ROUND(C102*D102*E102*F102,2)</f>
        <v>7.0000000000000007E-2</v>
      </c>
      <c r="H102" s="456">
        <f>Data!I1331</f>
        <v>26340.932599999996</v>
      </c>
      <c r="I102" s="474" t="s">
        <v>406</v>
      </c>
    </row>
    <row r="103" spans="1:10" x14ac:dyDescent="0.3">
      <c r="A103" s="468"/>
      <c r="B103" s="478"/>
      <c r="C103" s="480"/>
      <c r="D103" s="478"/>
      <c r="E103" s="473"/>
      <c r="F103" s="456"/>
      <c r="G103" s="456"/>
      <c r="H103" s="456"/>
      <c r="I103" s="474"/>
    </row>
    <row r="104" spans="1:10" x14ac:dyDescent="0.3">
      <c r="A104" s="468" t="s">
        <v>472</v>
      </c>
      <c r="B104" s="469" t="s">
        <v>473</v>
      </c>
      <c r="H104" s="456"/>
      <c r="I104" s="474"/>
    </row>
    <row r="105" spans="1:10" x14ac:dyDescent="0.3">
      <c r="A105" s="468"/>
      <c r="B105" s="455" t="s">
        <v>416</v>
      </c>
      <c r="H105" s="456"/>
      <c r="I105" s="474"/>
    </row>
    <row r="106" spans="1:10" ht="16.5" x14ac:dyDescent="0.35">
      <c r="A106" s="468"/>
      <c r="B106" s="469" t="s">
        <v>474</v>
      </c>
      <c r="H106" s="456"/>
      <c r="I106" s="474"/>
    </row>
    <row r="107" spans="1:10" ht="16.5" x14ac:dyDescent="0.35">
      <c r="A107" s="468"/>
      <c r="B107" s="469" t="s">
        <v>455</v>
      </c>
      <c r="E107" s="469"/>
      <c r="G107" s="456"/>
      <c r="H107" s="456"/>
      <c r="I107" s="474"/>
    </row>
    <row r="108" spans="1:10" x14ac:dyDescent="0.3">
      <c r="A108" s="468"/>
      <c r="B108" s="480"/>
      <c r="C108" s="481">
        <v>34</v>
      </c>
      <c r="D108" s="473">
        <f>1-0.2</f>
        <v>0.8</v>
      </c>
      <c r="E108" s="473">
        <v>0.05</v>
      </c>
      <c r="F108" s="456">
        <v>0.15</v>
      </c>
      <c r="G108" s="456">
        <f>ROUND(C108*D108*E108*F108,2)</f>
        <v>0.2</v>
      </c>
      <c r="H108" s="456">
        <f>Data!I1341</f>
        <v>21773.6096</v>
      </c>
      <c r="I108" s="474" t="s">
        <v>406</v>
      </c>
      <c r="J108" s="456">
        <f>ROUND(H108*G108,0)</f>
        <v>4355</v>
      </c>
    </row>
    <row r="109" spans="1:10" x14ac:dyDescent="0.3">
      <c r="A109" s="468"/>
      <c r="C109" s="480"/>
      <c r="D109" s="469"/>
      <c r="E109" s="456"/>
      <c r="F109" s="456"/>
      <c r="G109" s="456"/>
      <c r="H109" s="456"/>
      <c r="I109" s="474"/>
    </row>
    <row r="110" spans="1:10" ht="16.5" x14ac:dyDescent="0.35">
      <c r="A110" s="468"/>
      <c r="B110" s="482" t="s">
        <v>456</v>
      </c>
      <c r="C110" s="480">
        <f>3/0.15</f>
        <v>20</v>
      </c>
      <c r="D110" s="473">
        <f>1-0.2</f>
        <v>0.8</v>
      </c>
      <c r="E110" s="473">
        <v>0.05</v>
      </c>
      <c r="F110" s="456">
        <v>0.15</v>
      </c>
      <c r="G110" s="456">
        <f>ROUND(C110*D110*E110*F110,2)</f>
        <v>0.12</v>
      </c>
      <c r="H110" s="456">
        <f>Data!I1342</f>
        <v>25194.818847039998</v>
      </c>
      <c r="I110" s="474" t="s">
        <v>406</v>
      </c>
      <c r="J110" s="456">
        <f>ROUND(H110*G110,0)</f>
        <v>3023</v>
      </c>
    </row>
    <row r="111" spans="1:10" x14ac:dyDescent="0.3">
      <c r="A111" s="468"/>
      <c r="B111" s="478"/>
      <c r="C111" s="480"/>
      <c r="D111" s="478"/>
      <c r="E111" s="473"/>
      <c r="F111" s="456"/>
      <c r="G111" s="456"/>
      <c r="H111" s="456"/>
      <c r="I111" s="474"/>
    </row>
    <row r="112" spans="1:10" ht="16.5" x14ac:dyDescent="0.35">
      <c r="A112" s="468"/>
      <c r="B112" s="482" t="s">
        <v>457</v>
      </c>
      <c r="C112" s="480">
        <v>20</v>
      </c>
      <c r="D112" s="473">
        <f>1-0.2</f>
        <v>0.8</v>
      </c>
      <c r="E112" s="473">
        <v>0.05</v>
      </c>
      <c r="F112" s="456">
        <v>0.15</v>
      </c>
      <c r="G112" s="456">
        <f>ROUND(C112*D112*E112*F112,2)</f>
        <v>0.12</v>
      </c>
      <c r="H112" s="456">
        <f>Data!I1343</f>
        <v>25651.551147040002</v>
      </c>
      <c r="I112" s="474" t="s">
        <v>406</v>
      </c>
      <c r="J112" s="456">
        <f>ROUND(H112*G112,0)</f>
        <v>3078</v>
      </c>
    </row>
    <row r="113" spans="1:10" x14ac:dyDescent="0.3">
      <c r="A113" s="468"/>
      <c r="B113" s="478"/>
      <c r="C113" s="480"/>
      <c r="D113" s="478"/>
      <c r="E113" s="473"/>
      <c r="F113" s="456"/>
      <c r="G113" s="456"/>
      <c r="H113" s="456"/>
      <c r="I113" s="474"/>
    </row>
    <row r="114" spans="1:10" ht="16.5" x14ac:dyDescent="0.35">
      <c r="A114" s="468"/>
      <c r="B114" s="482" t="s">
        <v>458</v>
      </c>
      <c r="C114" s="480">
        <v>20</v>
      </c>
      <c r="D114" s="473">
        <f>1-0.2</f>
        <v>0.8</v>
      </c>
      <c r="E114" s="473">
        <v>0.05</v>
      </c>
      <c r="F114" s="456">
        <v>0.15</v>
      </c>
      <c r="G114" s="456">
        <f>ROUND(C114*D114*E114*F114,2)</f>
        <v>0.12</v>
      </c>
      <c r="H114" s="456">
        <f>Data!I1344</f>
        <v>26108.283447039998</v>
      </c>
      <c r="I114" s="474" t="s">
        <v>406</v>
      </c>
      <c r="J114" s="456">
        <f>ROUND(H114*G114,0)</f>
        <v>3133</v>
      </c>
    </row>
    <row r="115" spans="1:10" x14ac:dyDescent="0.3">
      <c r="A115" s="468"/>
      <c r="B115" s="478"/>
      <c r="C115" s="480"/>
      <c r="D115" s="478"/>
      <c r="E115" s="473"/>
      <c r="F115" s="456"/>
      <c r="G115" s="456"/>
      <c r="H115" s="456"/>
      <c r="I115" s="474"/>
    </row>
    <row r="116" spans="1:10" ht="16.5" x14ac:dyDescent="0.35">
      <c r="A116" s="468"/>
      <c r="B116" s="482" t="s">
        <v>459</v>
      </c>
      <c r="C116" s="480">
        <v>20</v>
      </c>
      <c r="D116" s="473">
        <f>1-0.2</f>
        <v>0.8</v>
      </c>
      <c r="E116" s="473">
        <v>0.05</v>
      </c>
      <c r="F116" s="456">
        <v>0.15</v>
      </c>
      <c r="G116" s="456">
        <f>ROUND(C116*D116*E116*F116,2)</f>
        <v>0.12</v>
      </c>
      <c r="H116" s="456">
        <f>Data!I1345</f>
        <v>26565.015747040001</v>
      </c>
      <c r="I116" s="474" t="s">
        <v>406</v>
      </c>
    </row>
    <row r="117" spans="1:10" x14ac:dyDescent="0.3">
      <c r="A117" s="468"/>
      <c r="B117" s="478"/>
      <c r="C117" s="480"/>
      <c r="D117" s="478"/>
      <c r="E117" s="473"/>
      <c r="F117" s="477"/>
      <c r="G117" s="456"/>
      <c r="H117" s="456"/>
      <c r="I117" s="474"/>
    </row>
    <row r="118" spans="1:10" ht="16.5" x14ac:dyDescent="0.35">
      <c r="A118" s="468"/>
      <c r="B118" s="482" t="s">
        <v>460</v>
      </c>
      <c r="C118" s="480">
        <v>20</v>
      </c>
      <c r="D118" s="473">
        <f>1-0.2</f>
        <v>0.8</v>
      </c>
      <c r="E118" s="473">
        <v>0.05</v>
      </c>
      <c r="F118" s="456">
        <v>0.15</v>
      </c>
      <c r="G118" s="456">
        <f>ROUND(C118*D118*E118*F118,2)</f>
        <v>0.12</v>
      </c>
      <c r="H118" s="456">
        <f>Data!I1346</f>
        <v>27021.748047040001</v>
      </c>
      <c r="I118" s="474" t="s">
        <v>406</v>
      </c>
    </row>
    <row r="119" spans="1:10" ht="16.5" x14ac:dyDescent="0.35">
      <c r="A119" s="468"/>
      <c r="B119" s="483"/>
      <c r="C119" s="480"/>
      <c r="D119" s="478"/>
      <c r="E119" s="473"/>
      <c r="F119" s="477"/>
      <c r="G119" s="456"/>
      <c r="H119" s="456"/>
      <c r="I119" s="474"/>
    </row>
    <row r="120" spans="1:10" ht="16.5" x14ac:dyDescent="0.35">
      <c r="A120" s="468"/>
      <c r="B120" s="482" t="s">
        <v>461</v>
      </c>
      <c r="C120" s="480">
        <v>20</v>
      </c>
      <c r="D120" s="473">
        <f>1-0.2</f>
        <v>0.8</v>
      </c>
      <c r="E120" s="473">
        <v>0.05</v>
      </c>
      <c r="F120" s="456">
        <v>0.15</v>
      </c>
      <c r="G120" s="456">
        <f>ROUND(C120*D120*E120*F120,2)</f>
        <v>0.12</v>
      </c>
      <c r="H120" s="456">
        <f>Data!I1347</f>
        <v>27478.48034704</v>
      </c>
      <c r="I120" s="474" t="s">
        <v>406</v>
      </c>
    </row>
    <row r="121" spans="1:10" ht="16.5" x14ac:dyDescent="0.35">
      <c r="A121" s="468"/>
      <c r="B121" s="483"/>
      <c r="C121" s="480"/>
      <c r="D121" s="478"/>
      <c r="E121" s="473"/>
      <c r="F121" s="456"/>
      <c r="G121" s="456"/>
      <c r="H121" s="456"/>
      <c r="I121" s="474"/>
    </row>
    <row r="122" spans="1:10" ht="16.5" x14ac:dyDescent="0.35">
      <c r="A122" s="468"/>
      <c r="B122" s="482" t="s">
        <v>468</v>
      </c>
      <c r="C122" s="480">
        <v>20</v>
      </c>
      <c r="D122" s="473">
        <f>1-0.2</f>
        <v>0.8</v>
      </c>
      <c r="E122" s="473">
        <v>0.05</v>
      </c>
      <c r="F122" s="456">
        <v>0.15</v>
      </c>
      <c r="G122" s="456">
        <f>ROUND(C122*D122*E122*F122,2)</f>
        <v>0.12</v>
      </c>
      <c r="H122" s="456">
        <f>Data!I1348</f>
        <v>27935.21264704</v>
      </c>
      <c r="I122" s="474" t="s">
        <v>406</v>
      </c>
    </row>
    <row r="123" spans="1:10" ht="16.5" x14ac:dyDescent="0.35">
      <c r="A123" s="468"/>
      <c r="B123" s="482"/>
      <c r="C123" s="480"/>
      <c r="D123" s="473"/>
      <c r="E123" s="473"/>
      <c r="F123" s="456"/>
      <c r="G123" s="456"/>
      <c r="H123" s="456"/>
      <c r="I123" s="474"/>
    </row>
    <row r="124" spans="1:10" ht="16.5" x14ac:dyDescent="0.35">
      <c r="A124" s="468"/>
      <c r="B124" s="482" t="s">
        <v>469</v>
      </c>
      <c r="C124" s="480">
        <v>20</v>
      </c>
      <c r="D124" s="473">
        <f>1-0.2</f>
        <v>0.8</v>
      </c>
      <c r="E124" s="473">
        <v>0.05</v>
      </c>
      <c r="F124" s="456">
        <v>0.15</v>
      </c>
      <c r="G124" s="456">
        <f>ROUND(C124*D124*E124*F124,2)</f>
        <v>0.12</v>
      </c>
      <c r="H124" s="456">
        <f>Data!I1349</f>
        <v>28391.94494704</v>
      </c>
      <c r="I124" s="474" t="s">
        <v>406</v>
      </c>
    </row>
    <row r="125" spans="1:10" ht="16.5" x14ac:dyDescent="0.35">
      <c r="A125" s="468"/>
      <c r="B125" s="482" t="s">
        <v>475</v>
      </c>
      <c r="C125" s="480">
        <v>20</v>
      </c>
      <c r="D125" s="473">
        <f>1-0.2</f>
        <v>0.8</v>
      </c>
      <c r="E125" s="473">
        <v>0.05</v>
      </c>
      <c r="F125" s="456">
        <v>0.15</v>
      </c>
      <c r="G125" s="456">
        <f>ROUND(C125*D125*E125*F125,2)</f>
        <v>0.12</v>
      </c>
      <c r="H125" s="456">
        <f>Data!I1350</f>
        <v>28848.677247039999</v>
      </c>
      <c r="I125" s="474" t="s">
        <v>406</v>
      </c>
    </row>
    <row r="126" spans="1:10" ht="16.5" x14ac:dyDescent="0.35">
      <c r="A126" s="468"/>
      <c r="B126" s="482" t="s">
        <v>476</v>
      </c>
      <c r="C126" s="480">
        <v>7</v>
      </c>
      <c r="D126" s="473">
        <f>1-0.2</f>
        <v>0.8</v>
      </c>
      <c r="E126" s="473">
        <v>0.05</v>
      </c>
      <c r="F126" s="456">
        <v>0.15</v>
      </c>
      <c r="G126" s="456">
        <f>ROUND(C126*D126*E126*F126,2)</f>
        <v>0.04</v>
      </c>
      <c r="H126" s="456">
        <f>Data!I1351</f>
        <v>29305.409547039999</v>
      </c>
      <c r="I126" s="474" t="s">
        <v>406</v>
      </c>
    </row>
    <row r="127" spans="1:10" x14ac:dyDescent="0.3">
      <c r="A127" s="468"/>
      <c r="B127" s="469"/>
      <c r="E127" s="456"/>
      <c r="G127" s="456"/>
      <c r="H127" s="456"/>
      <c r="I127" s="474"/>
    </row>
    <row r="128" spans="1:10" x14ac:dyDescent="0.3">
      <c r="A128" s="468" t="s">
        <v>477</v>
      </c>
      <c r="B128" s="469" t="s">
        <v>478</v>
      </c>
      <c r="H128" s="456"/>
      <c r="I128" s="474"/>
    </row>
    <row r="129" spans="1:10" x14ac:dyDescent="0.3">
      <c r="A129" s="468"/>
      <c r="B129" s="469" t="s">
        <v>479</v>
      </c>
      <c r="H129" s="456"/>
      <c r="I129" s="474"/>
    </row>
    <row r="130" spans="1:10" ht="16.5" x14ac:dyDescent="0.35">
      <c r="A130" s="468"/>
      <c r="B130" s="484" t="s">
        <v>480</v>
      </c>
      <c r="C130" s="482">
        <v>100</v>
      </c>
      <c r="D130" s="455" t="s">
        <v>481</v>
      </c>
      <c r="H130" s="456"/>
      <c r="I130" s="468"/>
    </row>
    <row r="131" spans="1:10" ht="19.5" x14ac:dyDescent="0.4">
      <c r="A131" s="468"/>
      <c r="B131" s="470" t="s">
        <v>482</v>
      </c>
      <c r="C131" s="471" t="s">
        <v>483</v>
      </c>
      <c r="D131" s="473">
        <v>1</v>
      </c>
      <c r="E131" s="473">
        <v>1</v>
      </c>
      <c r="F131" s="477">
        <v>0.1</v>
      </c>
      <c r="G131" s="456">
        <f>ROUND(D131*E131*F131,2)</f>
        <v>0.1</v>
      </c>
      <c r="H131" s="456">
        <f>Data!G1379</f>
        <v>108969.5</v>
      </c>
      <c r="I131" s="474" t="s">
        <v>406</v>
      </c>
      <c r="J131" s="456">
        <f>ROUND(H131*G131,0)</f>
        <v>10897</v>
      </c>
    </row>
    <row r="132" spans="1:10" x14ac:dyDescent="0.3">
      <c r="A132" s="468"/>
      <c r="B132" s="470"/>
      <c r="C132" s="480"/>
      <c r="D132" s="473"/>
      <c r="E132" s="473"/>
      <c r="F132" s="456"/>
      <c r="G132" s="456"/>
      <c r="H132" s="456"/>
      <c r="I132" s="468"/>
    </row>
    <row r="133" spans="1:10" x14ac:dyDescent="0.3">
      <c r="A133" s="468" t="s">
        <v>484</v>
      </c>
      <c r="B133" s="470" t="s">
        <v>485</v>
      </c>
      <c r="C133" s="480"/>
      <c r="D133" s="473"/>
      <c r="E133" s="473"/>
      <c r="F133" s="456"/>
      <c r="G133" s="456">
        <f>SUM(G15:G131)*85/1000</f>
        <v>0.92494166666666511</v>
      </c>
      <c r="H133" s="403">
        <f>Data!H327</f>
        <v>60670.400000000001</v>
      </c>
      <c r="I133" s="468" t="s">
        <v>486</v>
      </c>
      <c r="J133" s="456">
        <f>ROUND(H133*G133,0)</f>
        <v>56117</v>
      </c>
    </row>
    <row r="134" spans="1:10" x14ac:dyDescent="0.3">
      <c r="A134" s="468"/>
      <c r="B134" s="470"/>
      <c r="C134" s="480"/>
      <c r="D134" s="473"/>
      <c r="E134" s="473"/>
      <c r="F134" s="456"/>
      <c r="G134" s="456"/>
      <c r="H134" s="456"/>
      <c r="I134" s="468"/>
    </row>
    <row r="135" spans="1:10" x14ac:dyDescent="0.3">
      <c r="A135" s="468"/>
      <c r="B135" s="470"/>
      <c r="C135" s="480"/>
      <c r="D135" s="473"/>
      <c r="E135" s="473"/>
      <c r="F135" s="456"/>
      <c r="G135" s="456"/>
      <c r="H135" s="456"/>
      <c r="I135" s="468"/>
    </row>
    <row r="136" spans="1:10" x14ac:dyDescent="0.3">
      <c r="A136" s="468" t="s">
        <v>487</v>
      </c>
      <c r="B136" s="469" t="s">
        <v>488</v>
      </c>
      <c r="I136" s="468"/>
    </row>
    <row r="137" spans="1:10" x14ac:dyDescent="0.3">
      <c r="A137" s="485"/>
      <c r="B137" s="469" t="s">
        <v>489</v>
      </c>
      <c r="I137" s="468"/>
    </row>
    <row r="138" spans="1:10" ht="19.5" x14ac:dyDescent="0.4">
      <c r="A138" s="468"/>
      <c r="B138" s="455" t="s">
        <v>490</v>
      </c>
      <c r="C138" s="471" t="s">
        <v>491</v>
      </c>
      <c r="D138" s="456">
        <v>0.8</v>
      </c>
      <c r="E138" s="477">
        <v>0.25</v>
      </c>
      <c r="G138" s="456">
        <f>ROUND(2*221*D138*E138,2)</f>
        <v>88.4</v>
      </c>
      <c r="H138" s="456"/>
      <c r="I138" s="468"/>
    </row>
    <row r="139" spans="1:10" ht="19.5" x14ac:dyDescent="0.4">
      <c r="A139" s="468"/>
      <c r="B139" s="455" t="s">
        <v>492</v>
      </c>
      <c r="C139" s="471" t="s">
        <v>491</v>
      </c>
      <c r="D139" s="456">
        <v>0.8</v>
      </c>
      <c r="E139" s="477"/>
      <c r="F139" s="455">
        <v>0.15</v>
      </c>
      <c r="G139" s="456">
        <f>ROUND(2*221*D139*F139,2)</f>
        <v>53.04</v>
      </c>
      <c r="H139" s="456"/>
      <c r="I139" s="468"/>
    </row>
    <row r="140" spans="1:10" x14ac:dyDescent="0.3">
      <c r="A140" s="468"/>
      <c r="B140" s="470" t="s">
        <v>493</v>
      </c>
      <c r="C140" s="480" t="s">
        <v>494</v>
      </c>
      <c r="D140" s="456">
        <v>1</v>
      </c>
      <c r="E140" s="456">
        <v>1</v>
      </c>
      <c r="G140" s="456">
        <f>ROUND(2*D140*E140,2)</f>
        <v>2</v>
      </c>
      <c r="H140" s="456"/>
      <c r="I140" s="474"/>
    </row>
    <row r="141" spans="1:10" x14ac:dyDescent="0.3">
      <c r="A141" s="468"/>
      <c r="B141" s="470" t="s">
        <v>495</v>
      </c>
      <c r="C141" s="481" t="s">
        <v>496</v>
      </c>
      <c r="D141" s="456">
        <v>1.8</v>
      </c>
      <c r="E141" s="456">
        <v>1.2</v>
      </c>
      <c r="G141" s="456">
        <f>ROUND(11*D141*E141,2)</f>
        <v>23.76</v>
      </c>
      <c r="H141" s="456"/>
    </row>
    <row r="142" spans="1:10" ht="21" x14ac:dyDescent="0.4">
      <c r="A142" s="468"/>
      <c r="B142" s="470" t="s">
        <v>497</v>
      </c>
      <c r="C142" s="471" t="s">
        <v>498</v>
      </c>
      <c r="D142" s="456">
        <v>0.4</v>
      </c>
      <c r="E142" s="456">
        <v>27.85</v>
      </c>
      <c r="G142" s="456">
        <f>E142*D142*PI()</f>
        <v>34.9973421609903</v>
      </c>
      <c r="H142" s="456"/>
    </row>
    <row r="143" spans="1:10" ht="15.75" x14ac:dyDescent="0.3">
      <c r="A143" s="468"/>
      <c r="B143" s="469"/>
      <c r="E143" s="456"/>
      <c r="F143" s="474" t="s">
        <v>499</v>
      </c>
      <c r="G143" s="479">
        <f>SUM(G138:G142)</f>
        <v>202.19734216099027</v>
      </c>
      <c r="H143" s="150">
        <f>Data!I670</f>
        <v>1491.9</v>
      </c>
      <c r="I143" s="474" t="s">
        <v>500</v>
      </c>
      <c r="J143" s="456">
        <f>ROUND(H143*G143/10,0)</f>
        <v>30166</v>
      </c>
    </row>
    <row r="144" spans="1:10" x14ac:dyDescent="0.3">
      <c r="A144" s="468"/>
      <c r="I144" s="468"/>
    </row>
    <row r="145" spans="1:243" x14ac:dyDescent="0.3">
      <c r="A145" s="468" t="s">
        <v>501</v>
      </c>
      <c r="B145" s="469" t="s">
        <v>502</v>
      </c>
      <c r="I145" s="468"/>
    </row>
    <row r="146" spans="1:243" ht="15.75" x14ac:dyDescent="0.3">
      <c r="A146" s="468"/>
      <c r="B146" s="469" t="s">
        <v>503</v>
      </c>
      <c r="D146" s="480"/>
      <c r="E146" s="456"/>
      <c r="F146" s="456"/>
      <c r="G146" s="456">
        <f>+G143</f>
        <v>202.19734216099027</v>
      </c>
      <c r="H146" s="150">
        <f>Data!I315</f>
        <v>1202.7</v>
      </c>
      <c r="I146" s="474" t="s">
        <v>500</v>
      </c>
      <c r="J146" s="456">
        <f>ROUND(H146*G146/10,0)</f>
        <v>24318</v>
      </c>
    </row>
    <row r="147" spans="1:243" x14ac:dyDescent="0.3">
      <c r="A147" s="468"/>
      <c r="B147" s="470"/>
      <c r="D147" s="480"/>
      <c r="E147" s="456"/>
      <c r="F147" s="456"/>
      <c r="G147" s="456"/>
      <c r="H147" s="456"/>
      <c r="I147" s="474"/>
    </row>
    <row r="148" spans="1:243" x14ac:dyDescent="0.3">
      <c r="A148" s="486" t="s">
        <v>504</v>
      </c>
      <c r="B148" s="2164" t="s">
        <v>505</v>
      </c>
      <c r="C148" s="2164"/>
      <c r="D148" s="2164"/>
      <c r="E148" s="480"/>
      <c r="F148" s="480"/>
      <c r="G148" s="468">
        <v>79</v>
      </c>
      <c r="H148" s="487">
        <v>150</v>
      </c>
      <c r="I148" s="468" t="s">
        <v>506</v>
      </c>
      <c r="J148" s="474">
        <f>H148*G148</f>
        <v>11850</v>
      </c>
    </row>
    <row r="149" spans="1:243" x14ac:dyDescent="0.3">
      <c r="A149" s="486"/>
      <c r="B149" s="155" t="s">
        <v>507</v>
      </c>
      <c r="C149" s="488"/>
      <c r="D149" s="488"/>
      <c r="E149" s="480"/>
      <c r="F149" s="480"/>
      <c r="G149" s="468"/>
      <c r="H149" s="474"/>
      <c r="I149" s="468"/>
      <c r="J149" s="489"/>
    </row>
    <row r="150" spans="1:243" ht="16.5" x14ac:dyDescent="0.35">
      <c r="H150" s="490" t="s">
        <v>23</v>
      </c>
      <c r="I150" s="456"/>
      <c r="J150" s="165">
        <f>SUM(J7:J149)</f>
        <v>237721</v>
      </c>
      <c r="L150" s="491"/>
      <c r="BA150" s="491"/>
      <c r="II150" s="456"/>
    </row>
    <row r="151" spans="1:243" x14ac:dyDescent="0.3">
      <c r="I151" s="456"/>
    </row>
    <row r="152" spans="1:243" s="367" customFormat="1" ht="12.75" x14ac:dyDescent="0.2">
      <c r="B152" s="368"/>
      <c r="D152" s="369"/>
      <c r="G152" s="369"/>
      <c r="I152" s="370"/>
      <c r="J152" s="371"/>
    </row>
    <row r="153" spans="1:243" s="367" customFormat="1" ht="12.75" x14ac:dyDescent="0.2">
      <c r="B153" s="368"/>
      <c r="D153" s="369"/>
      <c r="G153" s="369"/>
      <c r="I153" s="369"/>
      <c r="J153" s="371"/>
    </row>
    <row r="154" spans="1:243" s="367" customFormat="1" ht="12.75" x14ac:dyDescent="0.2">
      <c r="B154" s="368"/>
      <c r="C154" s="369"/>
      <c r="D154" s="369"/>
      <c r="E154" s="372"/>
      <c r="F154" s="372"/>
      <c r="G154" s="372"/>
      <c r="H154" s="372"/>
      <c r="I154" s="373"/>
      <c r="J154" s="371"/>
    </row>
    <row r="155" spans="1:243" s="367" customFormat="1" ht="12.75" x14ac:dyDescent="0.2">
      <c r="B155" s="368"/>
      <c r="C155" s="369"/>
      <c r="D155" s="369"/>
      <c r="E155" s="369"/>
      <c r="F155" s="369"/>
      <c r="G155" s="369"/>
      <c r="H155" s="369"/>
      <c r="I155" s="369"/>
      <c r="J155" s="371"/>
    </row>
    <row r="156" spans="1:243" s="367" customFormat="1" ht="12.75" x14ac:dyDescent="0.2">
      <c r="B156" s="374"/>
      <c r="C156" s="369"/>
      <c r="D156" s="369"/>
      <c r="E156" s="372"/>
      <c r="F156" s="372"/>
      <c r="G156" s="368"/>
      <c r="H156" s="372"/>
      <c r="I156" s="369"/>
      <c r="J156" s="371"/>
    </row>
    <row r="157" spans="1:243" s="367" customFormat="1" ht="12.75" x14ac:dyDescent="0.2">
      <c r="B157" s="368"/>
      <c r="C157" s="369"/>
      <c r="D157" s="369"/>
      <c r="E157" s="372"/>
      <c r="F157" s="372"/>
      <c r="G157" s="368"/>
      <c r="H157" s="372"/>
      <c r="I157" s="369"/>
      <c r="J157" s="371"/>
    </row>
  </sheetData>
  <mergeCells count="3">
    <mergeCell ref="A2:J2"/>
    <mergeCell ref="A3:H3"/>
    <mergeCell ref="B148:D148"/>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7"/>
  <sheetViews>
    <sheetView topLeftCell="A217" workbookViewId="0">
      <selection activeCell="B118" sqref="B118"/>
    </sheetView>
  </sheetViews>
  <sheetFormatPr defaultRowHeight="15" x14ac:dyDescent="0.25"/>
  <cols>
    <col min="2" max="2" width="11.5703125" customWidth="1"/>
    <col min="11" max="11" width="11.140625" customWidth="1"/>
  </cols>
  <sheetData>
    <row r="1" spans="1:14" x14ac:dyDescent="0.25">
      <c r="A1" s="1497" t="s">
        <v>769</v>
      </c>
      <c r="B1" s="1498"/>
      <c r="E1" s="1499"/>
      <c r="F1" s="1500"/>
    </row>
    <row r="2" spans="1:14" x14ac:dyDescent="0.25">
      <c r="A2" s="206" t="s">
        <v>190</v>
      </c>
      <c r="B2" s="1501">
        <f>+E18</f>
        <v>30</v>
      </c>
      <c r="E2" s="1499"/>
      <c r="F2" s="1500"/>
    </row>
    <row r="3" spans="1:14" x14ac:dyDescent="0.25">
      <c r="A3" s="1502" t="s">
        <v>1739</v>
      </c>
      <c r="B3" s="1503">
        <f>3500</f>
        <v>3500</v>
      </c>
      <c r="E3" s="1499"/>
      <c r="F3" s="1500"/>
    </row>
    <row r="4" spans="1:14" x14ac:dyDescent="0.25">
      <c r="A4" s="1504" t="s">
        <v>197</v>
      </c>
      <c r="B4" s="1505">
        <f>3500</f>
        <v>3500</v>
      </c>
      <c r="E4" s="1499"/>
      <c r="F4" s="1499"/>
      <c r="L4" t="s">
        <v>1740</v>
      </c>
      <c r="N4" s="154">
        <f>+B2-E12-E13-0.15</f>
        <v>29.85</v>
      </c>
    </row>
    <row r="5" spans="1:14" x14ac:dyDescent="0.25">
      <c r="A5" s="203" t="s">
        <v>1741</v>
      </c>
      <c r="B5" s="1506">
        <f>'Valve chambers'!I66</f>
        <v>13464</v>
      </c>
      <c r="E5" s="1499"/>
      <c r="F5" s="1499"/>
    </row>
    <row r="6" spans="1:14" x14ac:dyDescent="0.25">
      <c r="A6" s="1507" t="s">
        <v>1742</v>
      </c>
      <c r="B6" s="1506">
        <f>'Valve chambers'!I120</f>
        <v>15601</v>
      </c>
      <c r="E6" s="1499"/>
      <c r="F6" s="1500"/>
    </row>
    <row r="7" spans="1:14" x14ac:dyDescent="0.25">
      <c r="A7" s="1507" t="s">
        <v>774</v>
      </c>
      <c r="B7" s="1506">
        <f>'Valve chambers'!I179</f>
        <v>17996</v>
      </c>
      <c r="E7" s="1499"/>
      <c r="F7" s="1500"/>
    </row>
    <row r="8" spans="1:14" x14ac:dyDescent="0.25">
      <c r="A8" s="1507" t="s">
        <v>1743</v>
      </c>
      <c r="B8" s="1506">
        <f>'Valve chambers'!I233</f>
        <v>23033</v>
      </c>
      <c r="E8" s="1499"/>
      <c r="F8" s="1500"/>
      <c r="G8" s="1508">
        <f>+ROUNDUP(F17/3,1)</f>
        <v>1.9000000000000001</v>
      </c>
    </row>
    <row r="9" spans="1:14" x14ac:dyDescent="0.25">
      <c r="A9" s="206"/>
      <c r="B9" s="1501"/>
      <c r="C9" s="105"/>
      <c r="E9" s="1499"/>
      <c r="F9" s="1499"/>
    </row>
    <row r="10" spans="1:14" x14ac:dyDescent="0.25">
      <c r="E10" s="1499"/>
      <c r="F10" s="1500"/>
    </row>
    <row r="11" spans="1:14" x14ac:dyDescent="0.25">
      <c r="A11" s="1509" t="s">
        <v>189</v>
      </c>
      <c r="B11" s="1510">
        <v>120</v>
      </c>
      <c r="C11" t="s">
        <v>72</v>
      </c>
      <c r="E11" s="1499"/>
      <c r="F11" s="1500"/>
      <c r="G11" s="689"/>
      <c r="H11" s="689"/>
      <c r="I11" s="689"/>
      <c r="J11" s="689"/>
    </row>
    <row r="12" spans="1:14" x14ac:dyDescent="0.25">
      <c r="A12" s="1511"/>
      <c r="B12" s="1512"/>
      <c r="C12" s="107"/>
      <c r="E12" s="1499"/>
      <c r="F12" s="1499"/>
      <c r="G12" s="120"/>
      <c r="H12" s="120"/>
      <c r="I12" s="120"/>
      <c r="J12" s="120"/>
    </row>
    <row r="13" spans="1:14" x14ac:dyDescent="0.25">
      <c r="A13" s="1513"/>
      <c r="B13" s="1514"/>
      <c r="C13" s="105"/>
      <c r="E13" s="1499"/>
      <c r="F13" s="1499"/>
      <c r="K13" t="s">
        <v>1744</v>
      </c>
      <c r="L13" s="154">
        <f>+(22/28)*(F17^2)</f>
        <v>23.767857142857142</v>
      </c>
    </row>
    <row r="14" spans="1:14" x14ac:dyDescent="0.25">
      <c r="A14" s="1515"/>
      <c r="B14" s="1516"/>
      <c r="C14" s="107"/>
      <c r="E14" s="1499"/>
      <c r="F14" s="1499"/>
      <c r="G14" s="1499"/>
      <c r="K14" s="113" t="s">
        <v>1745</v>
      </c>
      <c r="L14" s="1517">
        <f>+(F17-G8*2)*F17</f>
        <v>9.3499999999999979</v>
      </c>
    </row>
    <row r="15" spans="1:14" x14ac:dyDescent="0.25">
      <c r="C15" s="391"/>
      <c r="E15" s="1518"/>
      <c r="F15" s="1499"/>
      <c r="G15" s="1519"/>
      <c r="H15" s="120"/>
      <c r="I15" s="120"/>
      <c r="J15" s="120"/>
      <c r="L15" s="154">
        <f>+L13-L14</f>
        <v>14.417857142857144</v>
      </c>
    </row>
    <row r="16" spans="1:14" x14ac:dyDescent="0.25">
      <c r="A16" s="1504"/>
      <c r="B16" s="1505"/>
      <c r="C16" s="107"/>
      <c r="E16" s="1499"/>
      <c r="F16" s="1499"/>
      <c r="G16" s="1499"/>
      <c r="K16" t="s">
        <v>1746</v>
      </c>
      <c r="L16" s="154">
        <f>+ROUND(L15*0.5,2)</f>
        <v>7.21</v>
      </c>
    </row>
    <row r="17" spans="1:7" x14ac:dyDescent="0.25">
      <c r="A17" s="1520"/>
      <c r="B17" s="1521"/>
      <c r="C17" s="107"/>
      <c r="E17" s="1499"/>
      <c r="F17" s="1522">
        <f>+E22</f>
        <v>5.5</v>
      </c>
      <c r="G17" s="1499"/>
    </row>
    <row r="18" spans="1:7" x14ac:dyDescent="0.25">
      <c r="A18" s="1520"/>
      <c r="B18" s="1505" t="s">
        <v>1747</v>
      </c>
      <c r="C18" s="203"/>
      <c r="D18" s="91"/>
      <c r="E18" s="255">
        <v>30</v>
      </c>
      <c r="F18" s="1499" t="s">
        <v>1748</v>
      </c>
      <c r="G18" s="1499"/>
    </row>
    <row r="19" spans="1:7" x14ac:dyDescent="0.25">
      <c r="A19" s="1520"/>
      <c r="B19" s="1523" t="s">
        <v>1749</v>
      </c>
      <c r="C19" s="203"/>
      <c r="D19" s="91"/>
      <c r="E19" s="255">
        <v>7.6</v>
      </c>
      <c r="F19" s="1499" t="s">
        <v>1748</v>
      </c>
      <c r="G19" s="1499"/>
    </row>
    <row r="20" spans="1:7" x14ac:dyDescent="0.25">
      <c r="A20" s="1520"/>
      <c r="B20" s="1523" t="s">
        <v>1750</v>
      </c>
      <c r="C20" s="203"/>
      <c r="D20" s="91"/>
      <c r="E20" s="1524">
        <v>2.5</v>
      </c>
      <c r="F20" s="1499" t="s">
        <v>1748</v>
      </c>
      <c r="G20" s="1499"/>
    </row>
    <row r="21" spans="1:7" x14ac:dyDescent="0.25">
      <c r="A21" s="1520"/>
      <c r="B21" s="1523" t="s">
        <v>1751</v>
      </c>
      <c r="C21" s="203"/>
      <c r="D21" s="91"/>
      <c r="E21" s="1525">
        <v>0.6</v>
      </c>
      <c r="F21" s="1499" t="s">
        <v>1748</v>
      </c>
      <c r="G21" s="1499"/>
    </row>
    <row r="22" spans="1:7" x14ac:dyDescent="0.25">
      <c r="A22" s="1520"/>
      <c r="B22" s="1523" t="s">
        <v>1752</v>
      </c>
      <c r="C22" s="203"/>
      <c r="D22" s="91"/>
      <c r="E22" s="255">
        <v>5.5</v>
      </c>
      <c r="F22" s="1499" t="s">
        <v>1753</v>
      </c>
      <c r="G22" s="1499"/>
    </row>
    <row r="23" spans="1:7" x14ac:dyDescent="0.25">
      <c r="A23" s="1520"/>
      <c r="B23" s="1523" t="s">
        <v>1754</v>
      </c>
      <c r="C23" s="203"/>
      <c r="D23" s="91"/>
      <c r="E23" s="255">
        <v>0.2</v>
      </c>
      <c r="F23" s="1499"/>
      <c r="G23" s="1499"/>
    </row>
    <row r="24" spans="1:7" x14ac:dyDescent="0.25">
      <c r="A24" s="1520"/>
      <c r="B24" s="1523" t="s">
        <v>1755</v>
      </c>
      <c r="C24" s="203"/>
      <c r="D24" s="91"/>
      <c r="E24" s="255">
        <v>0.3</v>
      </c>
      <c r="F24" s="1499"/>
      <c r="G24" s="1499"/>
    </row>
    <row r="25" spans="1:7" x14ac:dyDescent="0.25">
      <c r="A25" s="1520"/>
      <c r="B25" s="1523" t="s">
        <v>1756</v>
      </c>
      <c r="C25" s="203"/>
      <c r="D25" s="91"/>
      <c r="E25" s="255">
        <v>5.18</v>
      </c>
      <c r="F25" s="1499" t="s">
        <v>1748</v>
      </c>
      <c r="G25" s="1499"/>
    </row>
    <row r="26" spans="1:7" x14ac:dyDescent="0.25">
      <c r="A26" s="1520"/>
      <c r="B26" s="1523" t="s">
        <v>1757</v>
      </c>
      <c r="C26" s="203"/>
      <c r="D26" s="91"/>
      <c r="E26" s="255">
        <v>0.79</v>
      </c>
      <c r="F26" s="1499" t="s">
        <v>1748</v>
      </c>
      <c r="G26" s="1499"/>
    </row>
    <row r="27" spans="1:7" x14ac:dyDescent="0.25">
      <c r="A27" s="1520"/>
      <c r="B27" s="1523" t="s">
        <v>1758</v>
      </c>
      <c r="C27" s="203"/>
      <c r="D27" s="91"/>
      <c r="E27" s="1525">
        <v>0.3</v>
      </c>
      <c r="F27" s="1499" t="s">
        <v>1748</v>
      </c>
      <c r="G27" s="1499"/>
    </row>
    <row r="28" spans="1:7" x14ac:dyDescent="0.25">
      <c r="A28" s="1520"/>
      <c r="B28" s="1526" t="s">
        <v>1759</v>
      </c>
      <c r="C28" s="203"/>
      <c r="D28" s="91"/>
      <c r="E28" s="255"/>
      <c r="F28" s="1499"/>
      <c r="G28" s="1499"/>
    </row>
    <row r="29" spans="1:7" x14ac:dyDescent="0.25">
      <c r="A29" s="1520"/>
      <c r="B29" s="1523" t="s">
        <v>1760</v>
      </c>
      <c r="C29" s="203"/>
      <c r="D29" s="91"/>
      <c r="E29" s="1525">
        <v>0.3</v>
      </c>
      <c r="F29" s="1499"/>
      <c r="G29" s="1499"/>
    </row>
    <row r="30" spans="1:7" x14ac:dyDescent="0.25">
      <c r="A30" s="1520"/>
      <c r="B30" s="1523" t="s">
        <v>1761</v>
      </c>
      <c r="C30" s="203"/>
      <c r="D30" s="91"/>
      <c r="E30" s="1525">
        <v>0.4</v>
      </c>
      <c r="F30" s="1499"/>
      <c r="G30" s="1499"/>
    </row>
    <row r="31" spans="1:7" x14ac:dyDescent="0.25">
      <c r="A31" s="1520"/>
      <c r="B31" s="1527" t="s">
        <v>1762</v>
      </c>
      <c r="C31" s="203"/>
      <c r="D31" s="91"/>
      <c r="E31" s="255">
        <v>8.1</v>
      </c>
      <c r="F31" s="1499"/>
      <c r="G31" s="1499"/>
    </row>
    <row r="32" spans="1:7" x14ac:dyDescent="0.25">
      <c r="A32" s="1520"/>
      <c r="B32" s="1527" t="s">
        <v>1763</v>
      </c>
      <c r="C32" s="203"/>
      <c r="D32" s="91"/>
      <c r="E32" s="1525">
        <v>0.2</v>
      </c>
      <c r="F32" s="1499"/>
      <c r="G32" s="1499"/>
    </row>
    <row r="33" spans="1:11" x14ac:dyDescent="0.25">
      <c r="A33" s="1520"/>
      <c r="B33" s="1523" t="s">
        <v>1764</v>
      </c>
      <c r="C33" s="203"/>
      <c r="D33" s="91"/>
      <c r="E33" s="255">
        <v>3.68</v>
      </c>
      <c r="F33" s="1499"/>
      <c r="G33" s="1499"/>
    </row>
    <row r="34" spans="1:11" x14ac:dyDescent="0.25">
      <c r="A34" s="1520"/>
      <c r="B34" s="1523" t="s">
        <v>1765</v>
      </c>
      <c r="C34" s="203"/>
      <c r="D34" s="91"/>
      <c r="E34" s="255">
        <v>2.6</v>
      </c>
      <c r="F34" s="1499"/>
      <c r="G34" s="1499"/>
    </row>
    <row r="35" spans="1:11" x14ac:dyDescent="0.25">
      <c r="A35" s="1520"/>
      <c r="B35" s="1526" t="s">
        <v>1766</v>
      </c>
      <c r="C35" s="203"/>
      <c r="D35" s="91"/>
      <c r="E35" s="255"/>
      <c r="F35" s="1499"/>
      <c r="G35" s="1499"/>
    </row>
    <row r="36" spans="1:11" x14ac:dyDescent="0.25">
      <c r="A36" s="1520"/>
      <c r="B36" s="1523" t="s">
        <v>1760</v>
      </c>
      <c r="C36" s="203"/>
      <c r="D36" s="91"/>
      <c r="E36" s="255">
        <v>0.3</v>
      </c>
      <c r="F36" s="1499"/>
      <c r="G36" s="1499"/>
    </row>
    <row r="37" spans="1:11" x14ac:dyDescent="0.25">
      <c r="A37" s="1520"/>
      <c r="B37" s="1523" t="s">
        <v>1761</v>
      </c>
      <c r="C37" s="203"/>
      <c r="D37" s="91"/>
      <c r="E37" s="1525">
        <v>0.4</v>
      </c>
      <c r="F37" s="1499"/>
      <c r="G37" s="1499"/>
    </row>
    <row r="38" spans="1:11" x14ac:dyDescent="0.25">
      <c r="A38" s="1520"/>
      <c r="B38" s="1523" t="s">
        <v>135</v>
      </c>
      <c r="C38" s="203"/>
      <c r="D38" s="91"/>
      <c r="E38" s="255">
        <v>10.7</v>
      </c>
      <c r="F38" s="1499"/>
      <c r="G38" s="1499"/>
    </row>
    <row r="39" spans="1:11" x14ac:dyDescent="0.25">
      <c r="A39" s="1520"/>
      <c r="B39" s="1526" t="s">
        <v>596</v>
      </c>
      <c r="C39" s="203"/>
      <c r="D39" s="91"/>
      <c r="E39" s="255"/>
      <c r="F39" s="1499"/>
      <c r="G39" s="1499"/>
    </row>
    <row r="40" spans="1:11" x14ac:dyDescent="0.25">
      <c r="A40" s="1520"/>
      <c r="B40" s="1523" t="s">
        <v>1767</v>
      </c>
      <c r="C40" s="203"/>
      <c r="D40" s="91"/>
      <c r="E40" s="255">
        <v>9.85</v>
      </c>
      <c r="F40" s="1499"/>
      <c r="G40" s="1499"/>
    </row>
    <row r="41" spans="1:11" x14ac:dyDescent="0.25">
      <c r="A41" s="1520"/>
      <c r="B41" s="1523" t="s">
        <v>1768</v>
      </c>
      <c r="C41" s="203"/>
      <c r="D41" s="91"/>
      <c r="E41" s="255">
        <v>1.5</v>
      </c>
      <c r="F41" s="1499"/>
      <c r="G41" s="1499"/>
    </row>
    <row r="42" spans="1:11" x14ac:dyDescent="0.25">
      <c r="A42" s="1520"/>
      <c r="B42" s="1523" t="s">
        <v>1769</v>
      </c>
      <c r="C42" s="203"/>
      <c r="D42" s="91"/>
      <c r="E42" s="1525">
        <v>0.125</v>
      </c>
      <c r="F42" s="1499"/>
      <c r="G42" s="1499"/>
    </row>
    <row r="43" spans="1:11" x14ac:dyDescent="0.25">
      <c r="A43" s="1520"/>
      <c r="B43" s="1526" t="s">
        <v>1770</v>
      </c>
      <c r="C43" s="203"/>
      <c r="D43" s="91"/>
      <c r="E43" s="255"/>
      <c r="F43" s="1499"/>
      <c r="G43" s="1499"/>
    </row>
    <row r="44" spans="1:11" x14ac:dyDescent="0.25">
      <c r="A44" s="1520"/>
      <c r="B44" s="1523" t="s">
        <v>135</v>
      </c>
      <c r="C44" s="203"/>
      <c r="D44" s="91"/>
      <c r="E44" s="255">
        <v>1.2</v>
      </c>
      <c r="F44" s="1499"/>
      <c r="G44" s="1499"/>
    </row>
    <row r="45" spans="1:11" x14ac:dyDescent="0.25">
      <c r="A45" s="1520"/>
      <c r="B45" s="1523" t="s">
        <v>1771</v>
      </c>
      <c r="C45" s="203"/>
      <c r="D45" s="91"/>
      <c r="E45" s="1525">
        <v>1.55</v>
      </c>
      <c r="F45" s="1499"/>
      <c r="G45" s="1499"/>
    </row>
    <row r="46" spans="1:11" x14ac:dyDescent="0.25">
      <c r="A46" s="1520"/>
      <c r="B46" s="1505" t="s">
        <v>245</v>
      </c>
      <c r="C46" s="203"/>
      <c r="D46" s="91"/>
      <c r="E46" s="1525">
        <v>0.15</v>
      </c>
      <c r="F46" s="1499"/>
      <c r="G46" s="1499"/>
    </row>
    <row r="47" spans="1:11" x14ac:dyDescent="0.25">
      <c r="A47" s="1520"/>
      <c r="B47" s="1505" t="s">
        <v>1772</v>
      </c>
      <c r="C47" s="1507" t="s">
        <v>1760</v>
      </c>
      <c r="D47" s="91"/>
      <c r="E47" s="255">
        <v>0.6</v>
      </c>
      <c r="F47" s="1499"/>
      <c r="G47" s="1499"/>
    </row>
    <row r="48" spans="1:11" x14ac:dyDescent="0.25">
      <c r="C48" s="132"/>
      <c r="D48" s="132"/>
      <c r="E48" s="132"/>
      <c r="F48" s="132"/>
      <c r="G48" s="132"/>
      <c r="H48" s="132"/>
      <c r="I48" s="132"/>
      <c r="J48" s="132"/>
      <c r="K48" s="132"/>
    </row>
    <row r="49" spans="1:26" x14ac:dyDescent="0.25">
      <c r="C49" s="1528" t="s">
        <v>1773</v>
      </c>
      <c r="D49" s="1529"/>
      <c r="E49" s="1530">
        <f>+B11*1000</f>
        <v>120000</v>
      </c>
      <c r="F49" s="1530" t="str">
        <f>+IF(B2&gt;16,"OHBR","OHSR")</f>
        <v>OHBR</v>
      </c>
      <c r="G49" s="1531" t="s">
        <v>190</v>
      </c>
      <c r="H49" s="1532">
        <f>+B2</f>
        <v>30</v>
      </c>
      <c r="I49" s="338"/>
      <c r="J49" s="338"/>
    </row>
    <row r="52" spans="1:26" x14ac:dyDescent="0.25">
      <c r="D52" s="112"/>
      <c r="I52">
        <f>30</f>
        <v>30</v>
      </c>
    </row>
    <row r="53" spans="1:26" x14ac:dyDescent="0.25">
      <c r="C53" s="112" t="s">
        <v>783</v>
      </c>
      <c r="D53" s="771">
        <f>+D55+E34-G53-G55</f>
        <v>32.300000000000004</v>
      </c>
      <c r="F53" s="113" t="s">
        <v>565</v>
      </c>
      <c r="G53" s="391">
        <v>0.15</v>
      </c>
      <c r="I53" s="154">
        <f>+E34</f>
        <v>2.6</v>
      </c>
    </row>
    <row r="54" spans="1:26" x14ac:dyDescent="0.25">
      <c r="C54" s="112"/>
      <c r="D54" s="123"/>
      <c r="F54" s="113"/>
      <c r="G54" s="391"/>
    </row>
    <row r="55" spans="1:26" x14ac:dyDescent="0.25">
      <c r="C55" s="112" t="s">
        <v>784</v>
      </c>
      <c r="D55" s="771">
        <f>+D61+B2</f>
        <v>30</v>
      </c>
      <c r="F55" s="113" t="s">
        <v>785</v>
      </c>
      <c r="G55" s="391">
        <v>0.15</v>
      </c>
    </row>
    <row r="56" spans="1:26" x14ac:dyDescent="0.25">
      <c r="D56" s="123"/>
    </row>
    <row r="57" spans="1:26" x14ac:dyDescent="0.25">
      <c r="D57" s="123"/>
    </row>
    <row r="58" spans="1:26" x14ac:dyDescent="0.25">
      <c r="D58" s="123"/>
    </row>
    <row r="59" spans="1:26" x14ac:dyDescent="0.25">
      <c r="D59" s="123"/>
    </row>
    <row r="60" spans="1:26" x14ac:dyDescent="0.25">
      <c r="D60" s="123"/>
      <c r="M60" s="90"/>
      <c r="N60" s="90"/>
      <c r="O60" s="90"/>
      <c r="P60" s="90"/>
      <c r="Q60" s="90"/>
      <c r="R60" s="90"/>
      <c r="S60" s="90"/>
      <c r="T60" s="90"/>
      <c r="U60" s="90"/>
      <c r="V60" s="90"/>
      <c r="W60" s="90"/>
      <c r="X60" s="90"/>
      <c r="Y60" s="90"/>
      <c r="Z60" s="90"/>
    </row>
    <row r="61" spans="1:26" x14ac:dyDescent="0.25">
      <c r="C61" s="112" t="s">
        <v>566</v>
      </c>
      <c r="D61" s="771">
        <f>+B16</f>
        <v>0</v>
      </c>
      <c r="M61" s="90"/>
      <c r="N61" s="90"/>
      <c r="O61" s="90"/>
      <c r="P61" s="1533"/>
      <c r="Q61" s="90"/>
      <c r="R61" s="90"/>
      <c r="S61" s="90"/>
      <c r="T61" s="507"/>
      <c r="U61" s="90"/>
      <c r="V61" s="90"/>
      <c r="W61" s="90"/>
      <c r="X61" s="90"/>
      <c r="Y61" s="90"/>
      <c r="Z61" s="90"/>
    </row>
    <row r="62" spans="1:26" x14ac:dyDescent="0.25">
      <c r="A62" s="176"/>
      <c r="B62" s="1445"/>
      <c r="M62" s="407"/>
      <c r="N62" s="407"/>
      <c r="O62" s="90"/>
      <c r="P62" s="1534"/>
      <c r="Q62" s="1534"/>
      <c r="R62" s="1534"/>
      <c r="S62" s="1535"/>
      <c r="T62" s="1536"/>
      <c r="U62" s="1534"/>
      <c r="V62" s="1537"/>
      <c r="W62" s="1538"/>
      <c r="X62" s="90"/>
      <c r="Y62" s="90"/>
      <c r="Z62" s="90"/>
    </row>
    <row r="63" spans="1:26" x14ac:dyDescent="0.25">
      <c r="A63" s="176"/>
      <c r="B63" s="1539"/>
      <c r="M63" s="90"/>
      <c r="N63" s="90"/>
      <c r="O63" s="90"/>
      <c r="P63" s="1540"/>
      <c r="Q63" s="1541"/>
      <c r="R63" s="1541"/>
      <c r="S63" s="1542"/>
      <c r="T63" s="1542"/>
      <c r="U63" s="1542"/>
      <c r="V63" s="1543"/>
      <c r="W63" s="1542"/>
      <c r="X63" s="90"/>
      <c r="Y63" s="90"/>
      <c r="Z63" s="90"/>
    </row>
    <row r="64" spans="1:26" x14ac:dyDescent="0.25">
      <c r="A64" s="175"/>
      <c r="B64" s="1445"/>
      <c r="M64" s="90"/>
      <c r="N64" s="90"/>
      <c r="O64" s="90"/>
      <c r="P64" s="1540"/>
      <c r="Q64" s="1541"/>
      <c r="R64" s="1541"/>
      <c r="S64" s="1542"/>
      <c r="T64" s="1542"/>
      <c r="U64" s="1542"/>
      <c r="V64" s="1543"/>
      <c r="W64" s="1542"/>
      <c r="X64" s="90"/>
      <c r="Y64" s="90"/>
      <c r="Z64" s="90"/>
    </row>
    <row r="65" spans="1:26" x14ac:dyDescent="0.25">
      <c r="A65" s="176"/>
      <c r="B65" s="1445"/>
      <c r="M65" s="90"/>
      <c r="N65" s="90"/>
      <c r="O65" s="90"/>
      <c r="P65" s="1540"/>
      <c r="Q65" s="1541"/>
      <c r="R65" s="1541"/>
      <c r="S65" s="1542"/>
      <c r="T65" s="1542"/>
      <c r="U65" s="1542"/>
      <c r="V65" s="1543"/>
      <c r="W65" s="1542"/>
      <c r="X65" s="90"/>
      <c r="Y65" s="90"/>
      <c r="Z65" s="90"/>
    </row>
    <row r="66" spans="1:26" x14ac:dyDescent="0.25">
      <c r="A66" s="90"/>
      <c r="M66" s="90"/>
      <c r="N66" s="90"/>
      <c r="O66" s="90"/>
      <c r="P66" s="1540"/>
      <c r="Q66" s="1541"/>
      <c r="R66" s="1541"/>
      <c r="S66" s="1542"/>
      <c r="T66" s="1542"/>
      <c r="U66" s="1542"/>
      <c r="V66" s="1543"/>
      <c r="W66" s="1542"/>
      <c r="X66" s="90"/>
      <c r="Y66" s="90"/>
      <c r="Z66" s="90"/>
    </row>
    <row r="67" spans="1:26" x14ac:dyDescent="0.25">
      <c r="A67" s="90"/>
      <c r="M67" s="90"/>
      <c r="N67" s="90"/>
      <c r="O67" s="90"/>
      <c r="P67" s="1540"/>
      <c r="Q67" s="1541"/>
      <c r="R67" s="1541"/>
      <c r="S67" s="1542"/>
      <c r="T67" s="1542"/>
      <c r="U67" s="1542"/>
      <c r="V67" s="1543"/>
      <c r="W67" s="1542"/>
      <c r="X67" s="90"/>
      <c r="Y67" s="90"/>
      <c r="Z67" s="90"/>
    </row>
    <row r="68" spans="1:26" x14ac:dyDescent="0.25">
      <c r="A68" s="90"/>
      <c r="C68" s="775" t="s">
        <v>786</v>
      </c>
      <c r="D68" s="775" t="s">
        <v>787</v>
      </c>
      <c r="E68" s="775" t="s">
        <v>788</v>
      </c>
      <c r="F68" s="775" t="s">
        <v>789</v>
      </c>
      <c r="M68" s="90"/>
      <c r="N68" s="90"/>
      <c r="O68" s="90"/>
      <c r="P68" s="1540"/>
      <c r="Q68" s="1541"/>
      <c r="R68" s="1541"/>
      <c r="S68" s="1542"/>
      <c r="T68" s="1542"/>
      <c r="U68" s="1542"/>
      <c r="V68" s="1543"/>
      <c r="W68" s="1542"/>
      <c r="X68" s="90"/>
      <c r="Y68" s="90"/>
      <c r="Z68" s="90"/>
    </row>
    <row r="69" spans="1:26" x14ac:dyDescent="0.25">
      <c r="A69" s="90"/>
      <c r="B69" s="775"/>
      <c r="C69" s="756"/>
      <c r="D69" s="756"/>
      <c r="E69" s="120"/>
      <c r="F69" s="756"/>
      <c r="M69" s="90"/>
      <c r="N69" s="90"/>
      <c r="O69" s="90"/>
      <c r="P69" s="1540"/>
      <c r="Q69" s="1541"/>
      <c r="R69" s="1541"/>
      <c r="S69" s="1542"/>
      <c r="T69" s="1542"/>
      <c r="U69" s="1542"/>
      <c r="V69" s="1543"/>
      <c r="W69" s="1542"/>
      <c r="X69" s="90"/>
      <c r="Y69" s="90"/>
      <c r="Z69" s="90"/>
    </row>
    <row r="70" spans="1:26" x14ac:dyDescent="0.25">
      <c r="B70" s="776" t="s">
        <v>790</v>
      </c>
      <c r="C70" s="777">
        <f>+LOOKUP(B3,RAM!$B$67:$B$90,RAM!$C$67:$C$90)</f>
        <v>350</v>
      </c>
      <c r="D70" s="777">
        <f>+LOOKUP(B4,RAM!$B$67:$B$90,RAM!$C$67:$C$90)</f>
        <v>350</v>
      </c>
      <c r="E70" s="777">
        <v>80</v>
      </c>
      <c r="F70" s="731">
        <f>+C70</f>
        <v>350</v>
      </c>
      <c r="M70" s="90"/>
      <c r="N70" s="90"/>
      <c r="O70" s="90"/>
      <c r="P70" s="1540"/>
      <c r="Q70" s="1542"/>
      <c r="R70" s="1542"/>
      <c r="S70" s="1542"/>
      <c r="T70" s="1544"/>
      <c r="U70" s="1544"/>
      <c r="V70" s="1543"/>
      <c r="W70" s="1542"/>
      <c r="X70" s="90"/>
      <c r="Y70" s="90"/>
      <c r="Z70" s="90"/>
    </row>
    <row r="71" spans="1:26" x14ac:dyDescent="0.25">
      <c r="B71" s="1545" t="s">
        <v>1774</v>
      </c>
      <c r="C71" s="1546">
        <f>+INT((D53-D61)/2)</f>
        <v>16</v>
      </c>
      <c r="D71" s="1546">
        <f>+INT((D55-D61)/2)</f>
        <v>15</v>
      </c>
      <c r="E71" s="1546">
        <f>+INT((D55-G55-D61)/2)</f>
        <v>14</v>
      </c>
      <c r="F71" s="1547">
        <f>+INT((D53-D61)/2)</f>
        <v>16</v>
      </c>
      <c r="G71" s="378"/>
      <c r="M71" s="90"/>
      <c r="N71" s="90"/>
      <c r="O71" s="90"/>
      <c r="P71" s="1540"/>
      <c r="Q71" s="1541"/>
      <c r="R71" s="1541"/>
      <c r="S71" s="1541"/>
      <c r="T71" s="1541"/>
      <c r="U71" s="1541"/>
      <c r="V71" s="1543"/>
      <c r="W71" s="1542"/>
      <c r="X71" s="90"/>
      <c r="Y71" s="90"/>
      <c r="Z71" s="90"/>
    </row>
    <row r="72" spans="1:26" x14ac:dyDescent="0.25">
      <c r="B72" s="1548" t="s">
        <v>1775</v>
      </c>
      <c r="C72" s="779">
        <f>+INT((D53-D61)-C71*2)</f>
        <v>0</v>
      </c>
      <c r="D72" s="779">
        <f>+INT((D55-D61)-D71*2)</f>
        <v>0</v>
      </c>
      <c r="E72" s="1546">
        <f>+INT((D55-G55-D61)-E71*2)</f>
        <v>1</v>
      </c>
      <c r="F72" s="204">
        <f>+INT((D53-D61)-F71*2)</f>
        <v>0</v>
      </c>
      <c r="G72" s="378"/>
      <c r="M72" s="90"/>
      <c r="N72" s="90"/>
      <c r="O72" s="90"/>
      <c r="P72" s="1540"/>
      <c r="Q72" s="1541"/>
      <c r="R72" s="1541"/>
      <c r="S72" s="1541"/>
      <c r="T72" s="1541"/>
      <c r="U72" s="1541"/>
      <c r="V72" s="1543"/>
      <c r="W72" s="1542"/>
      <c r="X72" s="90"/>
      <c r="Y72" s="90"/>
      <c r="Z72" s="90"/>
    </row>
    <row r="73" spans="1:26" x14ac:dyDescent="0.25">
      <c r="B73" s="1545" t="s">
        <v>1776</v>
      </c>
      <c r="C73" s="1546">
        <f>+((D53-D61)-(C71*2+C72*1)+1)</f>
        <v>1.3000000000000043</v>
      </c>
      <c r="D73" s="1546">
        <f>+((D55-D61)-(D71*2+D72*1)+1)</f>
        <v>1</v>
      </c>
      <c r="E73" s="1546">
        <f>+((D55-G55-D61)-E71*2-E72*1+1)</f>
        <v>1.8500000000000014</v>
      </c>
      <c r="F73" s="1547">
        <f>+(D53-D61)-F71*2-F72*1+1</f>
        <v>1.3000000000000043</v>
      </c>
      <c r="G73" s="378"/>
      <c r="M73" s="90"/>
      <c r="N73" s="90"/>
      <c r="O73" s="90"/>
      <c r="P73" s="1540"/>
      <c r="Q73" s="1541"/>
      <c r="R73" s="1541"/>
      <c r="S73" s="1541"/>
      <c r="T73" s="1541"/>
      <c r="U73" s="1541"/>
      <c r="V73" s="1543"/>
      <c r="W73" s="1542"/>
      <c r="X73" s="90"/>
      <c r="Y73" s="90"/>
      <c r="Z73" s="90"/>
    </row>
    <row r="74" spans="1:26" x14ac:dyDescent="0.25">
      <c r="B74" s="1545" t="s">
        <v>172</v>
      </c>
      <c r="C74" s="779">
        <v>1</v>
      </c>
      <c r="D74" s="779">
        <v>1</v>
      </c>
      <c r="E74" s="779">
        <v>1</v>
      </c>
      <c r="F74" s="204">
        <v>1</v>
      </c>
      <c r="G74" s="378"/>
      <c r="M74" s="90"/>
      <c r="N74" s="90"/>
      <c r="O74" s="90"/>
      <c r="P74" s="1540"/>
      <c r="Q74" s="1541"/>
      <c r="R74" s="1541"/>
      <c r="S74" s="1541"/>
      <c r="T74" s="1541"/>
      <c r="U74" s="1541"/>
      <c r="V74" s="1543"/>
      <c r="W74" s="1542"/>
      <c r="X74" s="90"/>
      <c r="Y74" s="90"/>
      <c r="Z74" s="90"/>
    </row>
    <row r="75" spans="1:26" x14ac:dyDescent="0.25">
      <c r="B75" s="1545" t="s">
        <v>1777</v>
      </c>
      <c r="C75" s="779">
        <v>1</v>
      </c>
      <c r="D75" s="779">
        <v>1</v>
      </c>
      <c r="E75" s="779">
        <v>1</v>
      </c>
      <c r="F75" s="204">
        <v>1</v>
      </c>
      <c r="G75" s="378"/>
      <c r="M75" s="90"/>
      <c r="N75" s="90"/>
      <c r="O75" s="90"/>
      <c r="P75" s="90"/>
      <c r="Q75" s="90"/>
      <c r="R75" s="90"/>
      <c r="S75" s="90"/>
      <c r="T75" s="90"/>
      <c r="U75" s="90"/>
      <c r="V75" s="90"/>
      <c r="W75" s="90"/>
      <c r="X75" s="90"/>
      <c r="Y75" s="90"/>
      <c r="Z75" s="90"/>
    </row>
    <row r="76" spans="1:26" x14ac:dyDescent="0.25">
      <c r="B76" s="778" t="s">
        <v>791</v>
      </c>
      <c r="C76" s="779">
        <v>1</v>
      </c>
      <c r="D76" s="779">
        <v>1</v>
      </c>
      <c r="E76" s="779">
        <v>1</v>
      </c>
      <c r="F76" s="204">
        <v>0</v>
      </c>
      <c r="G76" s="378"/>
      <c r="M76" s="90"/>
      <c r="N76" s="90"/>
      <c r="O76" s="90"/>
      <c r="P76" s="90"/>
      <c r="Q76" s="90"/>
      <c r="R76" s="90"/>
      <c r="S76" s="90"/>
      <c r="T76" s="90"/>
      <c r="U76" s="90"/>
      <c r="V76" s="90"/>
      <c r="W76" s="90"/>
      <c r="X76" s="90"/>
      <c r="Y76" s="90"/>
      <c r="Z76" s="90"/>
    </row>
    <row r="77" spans="1:26" x14ac:dyDescent="0.25">
      <c r="M77" s="90"/>
      <c r="N77" s="90"/>
      <c r="O77" s="90"/>
      <c r="P77" s="90"/>
      <c r="Q77" s="90"/>
      <c r="R77" s="90"/>
      <c r="S77" s="90"/>
      <c r="T77" s="90"/>
      <c r="U77" s="90"/>
      <c r="V77" s="90"/>
      <c r="W77" s="90"/>
      <c r="X77" s="90"/>
      <c r="Y77" s="90"/>
      <c r="Z77" s="90"/>
    </row>
    <row r="78" spans="1:26" x14ac:dyDescent="0.25">
      <c r="C78" s="1549">
        <v>58</v>
      </c>
      <c r="D78" s="1550">
        <f>[1]DFjoints!$C$17</f>
        <v>926.59</v>
      </c>
      <c r="E78" s="288">
        <f>C78*D78</f>
        <v>53742.22</v>
      </c>
      <c r="M78" s="90"/>
      <c r="N78" s="90"/>
      <c r="O78" s="90"/>
      <c r="P78" s="90"/>
      <c r="Q78" s="90"/>
      <c r="R78" s="90"/>
      <c r="S78" s="90"/>
      <c r="T78" s="90"/>
      <c r="U78" s="90"/>
      <c r="V78" s="90"/>
      <c r="W78" s="90"/>
      <c r="X78" s="90"/>
      <c r="Y78" s="90"/>
      <c r="Z78" s="90"/>
    </row>
    <row r="79" spans="1:26" x14ac:dyDescent="0.25">
      <c r="C79" s="1549">
        <v>20</v>
      </c>
      <c r="D79" s="1550">
        <f>[1]DFjoints!$C$28</f>
        <v>139.21</v>
      </c>
      <c r="E79" s="288">
        <f>C79*D79</f>
        <v>2784.2000000000003</v>
      </c>
      <c r="M79" s="90"/>
      <c r="N79" s="90"/>
      <c r="O79" s="90"/>
      <c r="P79" s="90"/>
      <c r="Q79" s="90"/>
      <c r="R79" s="90"/>
      <c r="S79" s="90"/>
      <c r="T79" s="90"/>
      <c r="U79" s="90"/>
      <c r="V79" s="90"/>
      <c r="W79" s="90"/>
      <c r="X79" s="90"/>
      <c r="Y79" s="90"/>
      <c r="Z79" s="90"/>
    </row>
    <row r="80" spans="1:26" x14ac:dyDescent="0.25">
      <c r="C80" s="288"/>
      <c r="D80" s="288"/>
      <c r="E80" s="288">
        <f>ROUND((E78+E79)*1.14,0)</f>
        <v>64440</v>
      </c>
      <c r="M80" s="90"/>
      <c r="N80" s="90"/>
      <c r="O80" s="90"/>
      <c r="P80" s="90"/>
      <c r="Q80" s="90"/>
      <c r="R80" s="90"/>
      <c r="S80" s="90"/>
      <c r="T80" s="90"/>
      <c r="U80" s="90"/>
      <c r="V80" s="90"/>
      <c r="W80" s="90"/>
      <c r="X80" s="90"/>
      <c r="Y80" s="90"/>
      <c r="Z80" s="90"/>
    </row>
    <row r="81" spans="1:26" x14ac:dyDescent="0.25">
      <c r="B81" s="141"/>
      <c r="C81" s="141"/>
      <c r="D81" s="141"/>
      <c r="E81" s="141"/>
      <c r="F81" s="141"/>
      <c r="G81" s="1551" t="s">
        <v>23</v>
      </c>
      <c r="M81" s="90"/>
      <c r="N81" s="90"/>
      <c r="O81" s="90"/>
      <c r="P81" s="90"/>
      <c r="Q81" s="90"/>
      <c r="R81" s="90"/>
      <c r="S81" s="90"/>
      <c r="T81" s="90"/>
      <c r="U81" s="90"/>
      <c r="V81" s="90"/>
      <c r="W81" s="90"/>
      <c r="X81" s="90"/>
      <c r="Y81" s="90"/>
      <c r="Z81" s="90"/>
    </row>
    <row r="82" spans="1:26" x14ac:dyDescent="0.25">
      <c r="B82" s="1552" t="s">
        <v>1778</v>
      </c>
      <c r="C82" s="1553">
        <f>+((LOOKUP(C70,RAM!$E$67:$E$78,RAM!$H$67:$H$78))*C71+(LOOKUP(C70,RAM!$E$67:$E$78,RAM!$G$67:$G$78))*C72+(LOOKUP(C70,RAM!$E$67:$E$78,RAM!$F$67:$F$78))*C73+(LOOKUP(C70,RAM!$E$67:$E$78,RAM!$I$67:$I$78))*C74+(LOOKUP(C70,RAM!$E$67:$E$78,RAM!$J$67:$J$78)))*C75</f>
        <v>391017.56099999999</v>
      </c>
      <c r="D82" s="1553">
        <f>+((LOOKUP(D70,RAM!$E$67:$E$78,RAM!$H$67:$H$78))*D71+(LOOKUP(D70,RAM!$E$67:$E$78,RAM!$G$67:$G$78))*D72+(LOOKUP(D70,RAM!$E$67:$E$78,RAM!$F$67:$F$78))*D73+(LOOKUP(D70,RAM!$E$67:$E$78,RAM!$I$67:$I$78))*D74+(LOOKUP(D70,RAM!$E$67:$E$78,RAM!$J$67:$J$78)))*D75</f>
        <v>365927.86999999994</v>
      </c>
      <c r="E82" s="1553">
        <f>+((LOOKUP(E70,RAM!$E$67:$E$78,RAM!$H$67:$H$78))*E71+(LOOKUP(E70,RAM!$E$67:$E$78,RAM!$G$67:$G$78))*E72+(LOOKUP(E70,RAM!$E$67:$E$78,RAM!$F$67:$F$78))*E73+(LOOKUP(E70,RAM!$E$67:$E$78,RAM!$I$67:$I$78))*E74+(LOOKUP(E70,RAM!$E$67:$E$78,RAM!$J$67:$J$78)))*E75</f>
        <v>55045.645599999996</v>
      </c>
      <c r="F82" s="1553">
        <f>+((LOOKUP(F70,RAM!$E$67:$E$78,RAM!$H$67:$H$78))*F71+(LOOKUP(F70,RAM!$E$67:$E$78,RAM!$G$67:$G$78))*F72+(LOOKUP(F70,RAM!$E$67:$E$78,RAM!$F$67:$F$78))*F73+(LOOKUP(F70,RAM!$E$67:$E$78,RAM!$I$67:$I$78))*F74+(LOOKUP(F70,RAM!$E$67:$E$78,RAM!$J$67:$J$78)))*F75</f>
        <v>391017.56099999999</v>
      </c>
      <c r="G82" s="782">
        <f>+ROUND((F82+E82+D82+C82),0)</f>
        <v>1203009</v>
      </c>
      <c r="M82" s="90"/>
      <c r="N82" s="90"/>
      <c r="O82" s="90"/>
      <c r="P82" s="90"/>
      <c r="Q82" s="90"/>
      <c r="R82" s="90"/>
      <c r="S82" s="90"/>
      <c r="T82" s="90"/>
      <c r="U82" s="90"/>
      <c r="V82" s="90"/>
      <c r="W82" s="90"/>
      <c r="X82" s="90"/>
      <c r="Y82" s="90"/>
      <c r="Z82" s="90"/>
    </row>
    <row r="83" spans="1:26" x14ac:dyDescent="0.25">
      <c r="B83" s="1554" t="s">
        <v>1779</v>
      </c>
      <c r="C83" s="1553">
        <f>+(LOOKUP(C70,RAM!$E$67:$E$78,RAM!$K$67:$K$78))*C76</f>
        <v>94238</v>
      </c>
      <c r="D83" s="1553">
        <f>+(LOOKUP(D70,RAM!$E$67:$E$78,RAM!$K$67:$K$78))*D76</f>
        <v>94238</v>
      </c>
      <c r="E83" s="1553">
        <f>+(LOOKUP(E70,RAM!$E$67:$E$78,RAM!$K$67:$K$78))*E76</f>
        <v>11025</v>
      </c>
      <c r="F83" s="1553">
        <f>+(LOOKUP(F70,RAM!$E$67:$E$78,RAM!$K$67:$K$78))*F76</f>
        <v>0</v>
      </c>
      <c r="G83" s="782">
        <f>+ROUND((F83+E83+D83+C83),0)</f>
        <v>199501</v>
      </c>
      <c r="M83" s="90"/>
      <c r="N83" s="90"/>
      <c r="O83" s="90"/>
      <c r="P83" s="90"/>
      <c r="Q83" s="90"/>
      <c r="R83" s="90"/>
      <c r="S83" s="90"/>
      <c r="T83" s="90"/>
      <c r="U83" s="90"/>
      <c r="V83" s="90"/>
      <c r="W83" s="90"/>
      <c r="X83" s="90"/>
      <c r="Y83" s="90"/>
      <c r="Z83" s="90"/>
    </row>
    <row r="84" spans="1:26" x14ac:dyDescent="0.25">
      <c r="M84" s="90"/>
      <c r="N84" s="90"/>
      <c r="O84" s="90"/>
      <c r="P84" s="90"/>
      <c r="Q84" s="90"/>
      <c r="R84" s="90"/>
      <c r="S84" s="90"/>
      <c r="T84" s="90"/>
      <c r="U84" s="90"/>
      <c r="V84" s="90"/>
      <c r="W84" s="90"/>
      <c r="X84" s="90"/>
      <c r="Y84" s="90"/>
      <c r="Z84" s="90"/>
    </row>
    <row r="85" spans="1:26" x14ac:dyDescent="0.25">
      <c r="M85">
        <v>8965</v>
      </c>
      <c r="N85">
        <v>600</v>
      </c>
    </row>
    <row r="86" spans="1:26" x14ac:dyDescent="0.25">
      <c r="A86" s="2008" t="str">
        <f>Design!$B$1</f>
        <v>CPWS SCHEME TO                                                                                                       DISTRICT</v>
      </c>
      <c r="B86" s="2008"/>
      <c r="C86" s="2008"/>
      <c r="D86" s="2008"/>
      <c r="E86" s="2008"/>
      <c r="F86" s="2008"/>
      <c r="G86" s="2008"/>
      <c r="H86" s="2008"/>
      <c r="I86" s="2008"/>
    </row>
    <row r="88" spans="1:26" x14ac:dyDescent="0.25">
      <c r="A88" s="131" t="s">
        <v>678</v>
      </c>
      <c r="B88" s="131"/>
      <c r="C88" s="131"/>
      <c r="D88" s="131"/>
      <c r="E88" s="131"/>
      <c r="F88" s="131"/>
      <c r="G88" s="131"/>
      <c r="H88" s="131"/>
      <c r="I88" s="131"/>
      <c r="J88" s="131"/>
      <c r="K88" s="131"/>
    </row>
    <row r="89" spans="1:26" x14ac:dyDescent="0.25">
      <c r="A89" s="679" t="s">
        <v>1780</v>
      </c>
      <c r="B89" s="124"/>
      <c r="C89" s="124"/>
      <c r="D89" s="680">
        <f>+E49</f>
        <v>120000</v>
      </c>
      <c r="E89" s="114" t="s">
        <v>1781</v>
      </c>
      <c r="F89" s="680" t="str">
        <f>+IF(B2&gt;16,"OHBR","OHSR")</f>
        <v>OHBR</v>
      </c>
      <c r="G89" s="97" t="s">
        <v>1782</v>
      </c>
      <c r="H89" s="1555">
        <f>+B2</f>
        <v>30</v>
      </c>
      <c r="I89" s="124" t="s">
        <v>599</v>
      </c>
      <c r="J89" s="1555" t="s">
        <v>1783</v>
      </c>
      <c r="K89" s="1556">
        <f>K239</f>
        <v>9775000</v>
      </c>
    </row>
    <row r="90" spans="1:26" x14ac:dyDescent="0.25">
      <c r="A90" s="1557"/>
      <c r="B90" s="141"/>
      <c r="C90" s="141"/>
      <c r="D90" s="141"/>
      <c r="E90" s="141"/>
      <c r="F90" s="141"/>
      <c r="G90" s="141"/>
      <c r="H90" s="681" t="s">
        <v>136</v>
      </c>
      <c r="I90" s="681"/>
      <c r="J90" s="681"/>
      <c r="K90" s="1558">
        <f>+K239</f>
        <v>9775000</v>
      </c>
    </row>
    <row r="91" spans="1:26" x14ac:dyDescent="0.25">
      <c r="A91" s="1557"/>
      <c r="B91" s="141"/>
      <c r="C91" s="141"/>
      <c r="D91" s="141"/>
      <c r="E91" s="141"/>
      <c r="F91" s="1559"/>
      <c r="G91" s="1559"/>
      <c r="H91" s="681"/>
      <c r="I91" s="681"/>
      <c r="J91" s="681"/>
      <c r="K91" s="143"/>
    </row>
    <row r="92" spans="1:26" x14ac:dyDescent="0.25">
      <c r="A92" s="1560" t="s">
        <v>400</v>
      </c>
      <c r="B92" s="706" t="s">
        <v>138</v>
      </c>
      <c r="C92" s="1561"/>
      <c r="D92" s="1561"/>
      <c r="E92" s="1560"/>
      <c r="F92" s="1560"/>
      <c r="G92" s="1560" t="s">
        <v>139</v>
      </c>
      <c r="H92" s="707" t="s">
        <v>140</v>
      </c>
      <c r="I92" s="2150" t="s">
        <v>401</v>
      </c>
      <c r="J92" s="2150"/>
      <c r="K92" s="707" t="s">
        <v>141</v>
      </c>
    </row>
    <row r="93" spans="1:26" x14ac:dyDescent="0.25">
      <c r="A93" s="120">
        <v>1</v>
      </c>
      <c r="B93" s="105" t="s">
        <v>403</v>
      </c>
    </row>
    <row r="94" spans="1:26" x14ac:dyDescent="0.25">
      <c r="A94" s="120"/>
      <c r="B94" s="105" t="s">
        <v>404</v>
      </c>
    </row>
    <row r="95" spans="1:26" x14ac:dyDescent="0.25">
      <c r="A95" s="120"/>
      <c r="B95" s="105" t="s">
        <v>680</v>
      </c>
      <c r="C95" s="1562">
        <f>PI()/4</f>
        <v>0.78539816339744828</v>
      </c>
      <c r="D95" s="1934">
        <f>+E19</f>
        <v>7.6</v>
      </c>
      <c r="E95" s="717">
        <f>+D95</f>
        <v>7.6</v>
      </c>
      <c r="F95" s="717">
        <f>RAM!D143</f>
        <v>3</v>
      </c>
      <c r="G95" s="154">
        <f>C95*D95*E95*F95</f>
        <v>136.09379375350983</v>
      </c>
      <c r="H95" s="150">
        <f>Data!I12</f>
        <v>158.80000000000001</v>
      </c>
      <c r="I95" s="154">
        <v>1</v>
      </c>
      <c r="J95" s="154" t="s">
        <v>20</v>
      </c>
      <c r="K95" s="378">
        <f>ROUND(G95*H95/I95,0)</f>
        <v>21612</v>
      </c>
      <c r="L95" s="1563"/>
    </row>
    <row r="96" spans="1:26" x14ac:dyDescent="0.25">
      <c r="A96" s="120"/>
      <c r="B96" s="105"/>
      <c r="C96" s="1562">
        <f>PI()/4</f>
        <v>0.78539816339744828</v>
      </c>
      <c r="D96" s="1934">
        <f>+D95</f>
        <v>7.6</v>
      </c>
      <c r="E96" s="717">
        <f>+D96</f>
        <v>7.6</v>
      </c>
      <c r="F96" s="717">
        <f>RAM!D144</f>
        <v>9.9999999999999645E-2</v>
      </c>
      <c r="G96" s="154">
        <f>C96*D96*E96*F96</f>
        <v>4.5364597917836447</v>
      </c>
      <c r="H96" s="150">
        <f>Data!I18</f>
        <v>204.2</v>
      </c>
      <c r="I96" s="154">
        <v>1</v>
      </c>
      <c r="J96" s="154" t="s">
        <v>20</v>
      </c>
      <c r="K96" s="378">
        <f>ROUND(G96*H96/I96,0)</f>
        <v>926</v>
      </c>
      <c r="L96" s="1564"/>
    </row>
    <row r="97" spans="1:11" x14ac:dyDescent="0.25">
      <c r="A97" s="120">
        <v>2</v>
      </c>
      <c r="B97" t="s">
        <v>1784</v>
      </c>
      <c r="K97" s="378"/>
    </row>
    <row r="98" spans="1:11" x14ac:dyDescent="0.25">
      <c r="A98" s="120"/>
      <c r="B98" s="105" t="s">
        <v>1785</v>
      </c>
      <c r="F98" s="154"/>
      <c r="G98" s="154"/>
      <c r="K98" s="378"/>
    </row>
    <row r="99" spans="1:11" x14ac:dyDescent="0.25">
      <c r="A99" s="120"/>
      <c r="B99" s="550" t="s">
        <v>1786</v>
      </c>
      <c r="C99" s="1562">
        <f>PI()/4</f>
        <v>0.78539816339744828</v>
      </c>
      <c r="D99" s="154">
        <f>+D95</f>
        <v>7.6</v>
      </c>
      <c r="E99" s="154">
        <f>D99</f>
        <v>7.6</v>
      </c>
      <c r="F99" s="1565">
        <v>0.3</v>
      </c>
      <c r="G99" s="154">
        <f>C99*D99*E99*F99</f>
        <v>13.609379375350983</v>
      </c>
      <c r="H99" s="154"/>
      <c r="I99" s="154"/>
      <c r="J99" s="154"/>
      <c r="K99" s="378"/>
    </row>
    <row r="100" spans="1:11" x14ac:dyDescent="0.25">
      <c r="A100" s="120"/>
      <c r="B100" s="105"/>
      <c r="C100" s="687"/>
      <c r="D100" s="154"/>
      <c r="E100" s="154"/>
      <c r="F100" s="154"/>
      <c r="G100" s="154">
        <f>SUM(G99:G99)</f>
        <v>13.609379375350983</v>
      </c>
      <c r="H100" s="150">
        <f>Data!I30</f>
        <v>937.7</v>
      </c>
      <c r="I100" s="154">
        <v>1</v>
      </c>
      <c r="J100" s="154" t="s">
        <v>20</v>
      </c>
      <c r="K100" s="378">
        <f>ROUND(G100*H100/I100,0)</f>
        <v>12762</v>
      </c>
    </row>
    <row r="101" spans="1:11" x14ac:dyDescent="0.25">
      <c r="A101" s="120"/>
      <c r="B101" s="105"/>
      <c r="C101" s="105"/>
      <c r="D101" s="718"/>
      <c r="E101" s="717"/>
      <c r="F101" s="717"/>
      <c r="G101" s="154"/>
      <c r="H101" s="154"/>
      <c r="I101" s="154"/>
      <c r="J101" s="154"/>
      <c r="K101" s="378"/>
    </row>
    <row r="102" spans="1:11" x14ac:dyDescent="0.25">
      <c r="A102" s="120">
        <v>3</v>
      </c>
      <c r="B102" s="105" t="s">
        <v>407</v>
      </c>
      <c r="K102" s="378"/>
    </row>
    <row r="103" spans="1:11" x14ac:dyDescent="0.25">
      <c r="A103" s="120"/>
      <c r="B103" s="1566" t="s">
        <v>408</v>
      </c>
      <c r="F103" s="154"/>
      <c r="G103" s="154"/>
      <c r="K103" s="378"/>
    </row>
    <row r="104" spans="1:11" x14ac:dyDescent="0.25">
      <c r="A104" s="120"/>
      <c r="B104" s="1566"/>
      <c r="C104" s="1562">
        <f>PI()/4</f>
        <v>0.78539816339744828</v>
      </c>
      <c r="D104" s="154">
        <f>+D99-0.7</f>
        <v>6.8999999999999995</v>
      </c>
      <c r="E104" s="154">
        <f>D104</f>
        <v>6.8999999999999995</v>
      </c>
      <c r="F104" s="1565">
        <v>0.3</v>
      </c>
      <c r="G104" s="154">
        <f>C104*D104*E104*F104</f>
        <v>11.217841967805752</v>
      </c>
      <c r="H104" s="150">
        <f>Data!I44</f>
        <v>4470.5</v>
      </c>
      <c r="I104" s="154">
        <v>1</v>
      </c>
      <c r="J104" s="154" t="s">
        <v>20</v>
      </c>
      <c r="K104" s="378">
        <f>ROUND(G104*H104/I104,0)</f>
        <v>50149</v>
      </c>
    </row>
    <row r="105" spans="1:11" x14ac:dyDescent="0.25">
      <c r="A105" s="120"/>
      <c r="K105" s="378"/>
    </row>
    <row r="106" spans="1:11" x14ac:dyDescent="0.25">
      <c r="A106" s="120"/>
      <c r="K106" s="378"/>
    </row>
    <row r="107" spans="1:11" x14ac:dyDescent="0.25">
      <c r="A107" s="687">
        <v>4</v>
      </c>
      <c r="B107" s="110" t="s">
        <v>1787</v>
      </c>
      <c r="K107" s="378"/>
    </row>
    <row r="108" spans="1:11" x14ac:dyDescent="0.25">
      <c r="A108" s="120"/>
      <c r="B108" s="105" t="s">
        <v>411</v>
      </c>
      <c r="K108" s="378"/>
    </row>
    <row r="109" spans="1:11" x14ac:dyDescent="0.25">
      <c r="A109" s="120"/>
      <c r="B109" s="105" t="s">
        <v>1788</v>
      </c>
      <c r="K109" s="378"/>
    </row>
    <row r="110" spans="1:11" x14ac:dyDescent="0.25">
      <c r="A110" s="120"/>
      <c r="B110" s="105"/>
      <c r="C110" s="1562">
        <f>PI()/4</f>
        <v>0.78539816339744828</v>
      </c>
      <c r="D110" s="154">
        <f>+E19</f>
        <v>7.6</v>
      </c>
      <c r="E110" s="154">
        <f>D110</f>
        <v>7.6</v>
      </c>
      <c r="F110" s="290">
        <f>E21</f>
        <v>0.6</v>
      </c>
      <c r="G110" s="154">
        <f>C110*D110*E110*F110</f>
        <v>27.218758750701966</v>
      </c>
      <c r="H110" s="150">
        <f>Data!I423</f>
        <v>9199.4</v>
      </c>
      <c r="I110" s="154">
        <v>1</v>
      </c>
      <c r="J110" s="154" t="s">
        <v>20</v>
      </c>
      <c r="K110" s="378">
        <f>ROUND(G110*H110/I110,0)</f>
        <v>250396</v>
      </c>
    </row>
    <row r="111" spans="1:11" x14ac:dyDescent="0.25">
      <c r="A111" s="120"/>
      <c r="B111" s="105"/>
      <c r="G111" s="154"/>
      <c r="H111" s="154"/>
      <c r="I111" s="154"/>
      <c r="J111" s="154"/>
      <c r="K111" s="378"/>
    </row>
    <row r="112" spans="1:11" x14ac:dyDescent="0.25">
      <c r="A112" s="120"/>
      <c r="B112" s="105"/>
      <c r="G112" s="154"/>
      <c r="H112" s="154"/>
      <c r="I112" s="154"/>
      <c r="J112" s="154"/>
      <c r="K112" s="378"/>
    </row>
    <row r="113" spans="1:11" x14ac:dyDescent="0.25">
      <c r="A113" s="687">
        <v>5</v>
      </c>
      <c r="B113" s="110" t="s">
        <v>1789</v>
      </c>
      <c r="K113" s="378"/>
    </row>
    <row r="114" spans="1:11" x14ac:dyDescent="0.25">
      <c r="A114" s="120"/>
      <c r="B114" s="105" t="s">
        <v>1790</v>
      </c>
      <c r="K114" s="378"/>
    </row>
    <row r="115" spans="1:11" x14ac:dyDescent="0.25">
      <c r="A115" s="120"/>
      <c r="B115" s="105" t="s">
        <v>1791</v>
      </c>
      <c r="K115" s="378"/>
    </row>
    <row r="116" spans="1:11" x14ac:dyDescent="0.25">
      <c r="A116" s="120"/>
      <c r="B116" s="550" t="s">
        <v>1792</v>
      </c>
      <c r="C116" s="1567">
        <f>PI()</f>
        <v>3.1415926535897931</v>
      </c>
      <c r="D116" s="154">
        <f>+E22+E24</f>
        <v>5.8</v>
      </c>
      <c r="E116" s="1568">
        <f>E24</f>
        <v>0.3</v>
      </c>
      <c r="F116" s="154">
        <f>E20-E21</f>
        <v>1.9</v>
      </c>
      <c r="G116" s="154">
        <f>C116*D116*E116*F116</f>
        <v>10.386105312767857</v>
      </c>
      <c r="H116" s="154">
        <f>Data!I1116</f>
        <v>21441.7</v>
      </c>
      <c r="I116" s="154">
        <v>1</v>
      </c>
      <c r="J116" s="154" t="s">
        <v>20</v>
      </c>
      <c r="K116" s="378">
        <f>ROUND(G116*H116/I116,0)</f>
        <v>222696</v>
      </c>
    </row>
    <row r="117" spans="1:11" x14ac:dyDescent="0.25">
      <c r="A117" s="120"/>
      <c r="B117" s="550"/>
      <c r="C117" s="1567"/>
      <c r="D117" s="154"/>
      <c r="E117" s="1568"/>
      <c r="F117" s="154"/>
      <c r="G117" s="154"/>
      <c r="H117" s="154"/>
      <c r="I117" s="154"/>
      <c r="J117" s="154"/>
      <c r="K117" s="378"/>
    </row>
    <row r="118" spans="1:11" x14ac:dyDescent="0.25">
      <c r="A118" s="120">
        <v>6</v>
      </c>
      <c r="B118" s="110" t="s">
        <v>1787</v>
      </c>
      <c r="G118" s="154"/>
      <c r="H118" s="154"/>
      <c r="I118" s="154"/>
      <c r="J118" s="154"/>
      <c r="K118" s="378"/>
    </row>
    <row r="119" spans="1:11" x14ac:dyDescent="0.25">
      <c r="A119" s="120"/>
      <c r="B119" s="105" t="s">
        <v>1790</v>
      </c>
      <c r="G119" s="154"/>
      <c r="H119" s="154"/>
      <c r="I119" s="154"/>
      <c r="J119" s="154"/>
      <c r="K119" s="378"/>
    </row>
    <row r="120" spans="1:11" x14ac:dyDescent="0.25">
      <c r="A120" s="120"/>
      <c r="B120" s="105" t="s">
        <v>1793</v>
      </c>
      <c r="G120" s="154"/>
      <c r="H120" s="154"/>
      <c r="I120" s="154"/>
      <c r="J120" s="154"/>
      <c r="K120" s="378"/>
    </row>
    <row r="121" spans="1:11" x14ac:dyDescent="0.25">
      <c r="A121" s="120"/>
      <c r="B121" s="105"/>
      <c r="C121" s="120">
        <v>1</v>
      </c>
      <c r="D121" s="154">
        <f>+D128*2+F128*2+4*E121</f>
        <v>7.8</v>
      </c>
      <c r="E121" s="1569">
        <v>0.3</v>
      </c>
      <c r="F121" s="387">
        <v>0.3</v>
      </c>
      <c r="G121" s="154">
        <f>+D121*F121*E121</f>
        <v>0.70199999999999996</v>
      </c>
      <c r="H121" s="154">
        <f>Data!I1134</f>
        <v>25588.7</v>
      </c>
      <c r="I121" s="154">
        <v>1</v>
      </c>
      <c r="J121" s="154" t="s">
        <v>20</v>
      </c>
      <c r="K121" s="378">
        <f>ROUND(G121*H121/I121,0)</f>
        <v>17963</v>
      </c>
    </row>
    <row r="122" spans="1:11" x14ac:dyDescent="0.25">
      <c r="A122" s="687">
        <v>7</v>
      </c>
      <c r="B122" s="110" t="s">
        <v>1787</v>
      </c>
      <c r="H122" s="154"/>
      <c r="I122" s="154"/>
      <c r="J122" s="154"/>
      <c r="K122" s="378"/>
    </row>
    <row r="123" spans="1:11" x14ac:dyDescent="0.25">
      <c r="A123" s="120"/>
      <c r="B123" t="s">
        <v>416</v>
      </c>
      <c r="H123" s="154"/>
      <c r="I123" s="154"/>
      <c r="J123" s="154"/>
      <c r="K123" s="378"/>
    </row>
    <row r="124" spans="1:11" x14ac:dyDescent="0.25">
      <c r="A124" s="120"/>
      <c r="B124" s="105" t="s">
        <v>1794</v>
      </c>
      <c r="K124" s="378"/>
    </row>
    <row r="125" spans="1:11" x14ac:dyDescent="0.25">
      <c r="A125" s="120"/>
      <c r="B125" s="105" t="s">
        <v>418</v>
      </c>
      <c r="E125" s="105"/>
      <c r="G125" s="154"/>
      <c r="K125" s="378"/>
    </row>
    <row r="126" spans="1:11" x14ac:dyDescent="0.25">
      <c r="A126" s="120"/>
      <c r="C126" s="1570"/>
      <c r="D126" s="717"/>
      <c r="E126" s="717"/>
      <c r="F126" s="1571"/>
      <c r="K126" s="378"/>
    </row>
    <row r="127" spans="1:11" x14ac:dyDescent="0.25">
      <c r="A127" s="120"/>
      <c r="B127" s="550" t="s">
        <v>420</v>
      </c>
      <c r="C127" s="1567">
        <f>PI()</f>
        <v>3.1415926535897931</v>
      </c>
      <c r="D127" s="717">
        <f>E22+E23</f>
        <v>5.7</v>
      </c>
      <c r="E127" s="717">
        <f>E23</f>
        <v>0.2</v>
      </c>
      <c r="F127" s="154">
        <v>3</v>
      </c>
      <c r="G127" s="290">
        <f>C127*D127*E127*F127</f>
        <v>10.744246875277094</v>
      </c>
      <c r="K127" s="378"/>
    </row>
    <row r="128" spans="1:11" x14ac:dyDescent="0.25">
      <c r="A128" s="120"/>
      <c r="B128" s="550" t="s">
        <v>1795</v>
      </c>
      <c r="C128" s="120" t="s">
        <v>483</v>
      </c>
      <c r="D128" s="1572">
        <v>1.2</v>
      </c>
      <c r="E128" s="717">
        <f>+E127</f>
        <v>0.2</v>
      </c>
      <c r="F128" s="1565">
        <v>2.1</v>
      </c>
      <c r="G128" s="290">
        <f>D128*E128*F128</f>
        <v>0.504</v>
      </c>
      <c r="H128" s="154"/>
      <c r="I128" s="154"/>
      <c r="J128" s="154"/>
      <c r="K128" s="378"/>
    </row>
    <row r="129" spans="1:11" x14ac:dyDescent="0.25">
      <c r="A129" s="120"/>
      <c r="B129" s="550"/>
      <c r="C129" s="687"/>
      <c r="D129" s="717"/>
      <c r="E129" s="717"/>
      <c r="F129" s="154"/>
      <c r="G129" s="1573">
        <f>G127-G128</f>
        <v>10.240246875277094</v>
      </c>
      <c r="H129" s="1574">
        <f>Data!I1144</f>
        <v>27808</v>
      </c>
      <c r="I129" s="154">
        <v>1</v>
      </c>
      <c r="J129" s="154" t="s">
        <v>20</v>
      </c>
      <c r="K129" s="1556">
        <f>ROUND(G129*H129/I129,0)</f>
        <v>284761</v>
      </c>
    </row>
    <row r="130" spans="1:11" x14ac:dyDescent="0.25">
      <c r="A130" s="120"/>
      <c r="B130" s="105" t="s">
        <v>422</v>
      </c>
      <c r="C130" s="1567">
        <f>PI()</f>
        <v>3.1415926535897931</v>
      </c>
      <c r="D130" s="717">
        <f>D127</f>
        <v>5.7</v>
      </c>
      <c r="E130" s="717">
        <f>+$E$127</f>
        <v>0.2</v>
      </c>
      <c r="F130" s="1575">
        <v>1</v>
      </c>
      <c r="G130" s="154">
        <f>C130*D130*E130*F130</f>
        <v>3.5814156250923648</v>
      </c>
      <c r="H130" s="1574">
        <f>Data!I1145</f>
        <v>27960.2</v>
      </c>
      <c r="I130" s="154">
        <v>1</v>
      </c>
      <c r="J130" s="154" t="s">
        <v>20</v>
      </c>
      <c r="K130" s="1556">
        <f>ROUND(G130*H130/I130,0)</f>
        <v>100137</v>
      </c>
    </row>
    <row r="131" spans="1:11" x14ac:dyDescent="0.25">
      <c r="A131" s="120"/>
      <c r="B131" s="105" t="s">
        <v>423</v>
      </c>
      <c r="C131" s="1567">
        <f>PI()</f>
        <v>3.1415926535897931</v>
      </c>
      <c r="D131" s="717">
        <f>D127</f>
        <v>5.7</v>
      </c>
      <c r="E131" s="717">
        <f>+$E$127</f>
        <v>0.2</v>
      </c>
      <c r="F131" s="1575">
        <v>1</v>
      </c>
      <c r="G131" s="154">
        <f t="shared" ref="G131:G156" si="0">C131*D131*E131*F131</f>
        <v>3.5814156250923648</v>
      </c>
      <c r="H131" s="1574">
        <f>Data!I1146</f>
        <v>28112.400000000001</v>
      </c>
      <c r="I131" s="154">
        <v>1</v>
      </c>
      <c r="J131" s="154" t="s">
        <v>20</v>
      </c>
      <c r="K131" s="1556">
        <f>ROUND(G131*H131/I131,0)</f>
        <v>100682</v>
      </c>
    </row>
    <row r="132" spans="1:11" x14ac:dyDescent="0.25">
      <c r="A132" s="120"/>
      <c r="B132" s="129" t="s">
        <v>424</v>
      </c>
      <c r="C132" s="1567">
        <f>PI()</f>
        <v>3.1415926535897931</v>
      </c>
      <c r="D132" s="717">
        <f t="shared" ref="D132:D137" si="1">D131</f>
        <v>5.7</v>
      </c>
      <c r="E132" s="717">
        <f t="shared" ref="E132:E156" si="2">+$E$127</f>
        <v>0.2</v>
      </c>
      <c r="F132" s="1575">
        <v>1</v>
      </c>
      <c r="G132" s="154">
        <f t="shared" si="0"/>
        <v>3.5814156250923648</v>
      </c>
      <c r="H132" s="1574">
        <f>Data!I1147</f>
        <v>28264.6</v>
      </c>
      <c r="I132" s="154">
        <v>1</v>
      </c>
      <c r="J132" s="154" t="s">
        <v>20</v>
      </c>
      <c r="K132" s="1556">
        <f t="shared" ref="K132:K156" si="3">ROUND(G132*H132/I132,0)</f>
        <v>101227</v>
      </c>
    </row>
    <row r="133" spans="1:11" x14ac:dyDescent="0.25">
      <c r="A133" s="120"/>
      <c r="B133" s="129" t="s">
        <v>425</v>
      </c>
      <c r="C133" s="1567">
        <f>PI()</f>
        <v>3.1415926535897931</v>
      </c>
      <c r="D133" s="717">
        <f t="shared" si="1"/>
        <v>5.7</v>
      </c>
      <c r="E133" s="717">
        <f t="shared" si="2"/>
        <v>0.2</v>
      </c>
      <c r="F133" s="1575">
        <v>1</v>
      </c>
      <c r="G133" s="154">
        <f t="shared" si="0"/>
        <v>3.5814156250923648</v>
      </c>
      <c r="H133" s="1574">
        <f>Data!I1148</f>
        <v>28416.799999999999</v>
      </c>
      <c r="I133" s="154">
        <v>1</v>
      </c>
      <c r="J133" s="154" t="s">
        <v>20</v>
      </c>
      <c r="K133" s="1556">
        <f t="shared" si="3"/>
        <v>101772</v>
      </c>
    </row>
    <row r="134" spans="1:11" x14ac:dyDescent="0.25">
      <c r="A134" s="120"/>
      <c r="B134" s="129" t="s">
        <v>426</v>
      </c>
      <c r="C134" s="1567">
        <f>PI()</f>
        <v>3.1415926535897931</v>
      </c>
      <c r="D134" s="717">
        <f t="shared" si="1"/>
        <v>5.7</v>
      </c>
      <c r="E134" s="717">
        <f t="shared" si="2"/>
        <v>0.2</v>
      </c>
      <c r="F134" s="1575">
        <v>1</v>
      </c>
      <c r="G134" s="154">
        <f t="shared" si="0"/>
        <v>3.5814156250923648</v>
      </c>
      <c r="H134" s="1574">
        <f>Data!I1149</f>
        <v>28569</v>
      </c>
      <c r="I134" s="154">
        <v>1</v>
      </c>
      <c r="J134" s="154" t="s">
        <v>20</v>
      </c>
      <c r="K134" s="1556">
        <f t="shared" si="3"/>
        <v>102317</v>
      </c>
    </row>
    <row r="135" spans="1:11" x14ac:dyDescent="0.25">
      <c r="A135" s="120"/>
      <c r="B135" s="129" t="s">
        <v>427</v>
      </c>
      <c r="C135" s="1567">
        <f>PI()</f>
        <v>3.1415926535897931</v>
      </c>
      <c r="D135" s="717">
        <f t="shared" si="1"/>
        <v>5.7</v>
      </c>
      <c r="E135" s="717">
        <f t="shared" si="2"/>
        <v>0.2</v>
      </c>
      <c r="F135" s="1575">
        <v>1</v>
      </c>
      <c r="G135" s="154">
        <f t="shared" si="0"/>
        <v>3.5814156250923648</v>
      </c>
      <c r="H135" s="1574">
        <f>Data!I1150</f>
        <v>28721.200000000001</v>
      </c>
      <c r="I135" s="154">
        <v>1</v>
      </c>
      <c r="J135" s="154" t="s">
        <v>20</v>
      </c>
      <c r="K135" s="1556">
        <f t="shared" si="3"/>
        <v>102863</v>
      </c>
    </row>
    <row r="136" spans="1:11" x14ac:dyDescent="0.25">
      <c r="A136" s="120"/>
      <c r="B136" s="129" t="s">
        <v>428</v>
      </c>
      <c r="C136" s="1567">
        <f>PI()</f>
        <v>3.1415926535897931</v>
      </c>
      <c r="D136" s="717">
        <f t="shared" si="1"/>
        <v>5.7</v>
      </c>
      <c r="E136" s="717">
        <f t="shared" si="2"/>
        <v>0.2</v>
      </c>
      <c r="F136" s="1575">
        <v>1</v>
      </c>
      <c r="G136" s="154">
        <f t="shared" si="0"/>
        <v>3.5814156250923648</v>
      </c>
      <c r="H136" s="1574">
        <f>Data!I1151</f>
        <v>28873.4</v>
      </c>
      <c r="I136" s="154">
        <v>1</v>
      </c>
      <c r="J136" s="154" t="s">
        <v>20</v>
      </c>
      <c r="K136" s="1556">
        <f t="shared" si="3"/>
        <v>103408</v>
      </c>
    </row>
    <row r="137" spans="1:11" x14ac:dyDescent="0.25">
      <c r="A137" s="120"/>
      <c r="B137" s="129" t="s">
        <v>429</v>
      </c>
      <c r="C137" s="1567">
        <f>PI()</f>
        <v>3.1415926535897931</v>
      </c>
      <c r="D137" s="717">
        <f t="shared" si="1"/>
        <v>5.7</v>
      </c>
      <c r="E137" s="717">
        <f t="shared" si="2"/>
        <v>0.2</v>
      </c>
      <c r="F137" s="1575">
        <v>1</v>
      </c>
      <c r="G137" s="154">
        <f t="shared" si="0"/>
        <v>3.5814156250923648</v>
      </c>
      <c r="H137" s="1574">
        <f>Data!I1152</f>
        <v>29025.599999999999</v>
      </c>
      <c r="I137" s="154">
        <v>1</v>
      </c>
      <c r="J137" s="154" t="s">
        <v>20</v>
      </c>
      <c r="K137" s="1556">
        <f t="shared" si="3"/>
        <v>103953</v>
      </c>
    </row>
    <row r="138" spans="1:11" x14ac:dyDescent="0.25">
      <c r="A138" s="120"/>
      <c r="B138" s="129" t="s">
        <v>430</v>
      </c>
      <c r="C138" s="1567">
        <f>PI()</f>
        <v>3.1415926535897931</v>
      </c>
      <c r="D138" s="717">
        <f t="shared" ref="D138:D156" si="4">+D135</f>
        <v>5.7</v>
      </c>
      <c r="E138" s="717">
        <f t="shared" si="2"/>
        <v>0.2</v>
      </c>
      <c r="F138" s="1575">
        <v>1</v>
      </c>
      <c r="G138" s="154">
        <f t="shared" si="0"/>
        <v>3.5814156250923648</v>
      </c>
      <c r="H138" s="1574">
        <f>Data!I1153</f>
        <v>29177.8</v>
      </c>
      <c r="I138" s="154">
        <v>1</v>
      </c>
      <c r="J138" s="154" t="s">
        <v>20</v>
      </c>
      <c r="K138" s="1556">
        <f t="shared" si="3"/>
        <v>104498</v>
      </c>
    </row>
    <row r="139" spans="1:11" x14ac:dyDescent="0.25">
      <c r="A139" s="120"/>
      <c r="B139" s="129" t="s">
        <v>431</v>
      </c>
      <c r="C139" s="1567">
        <f>PI()</f>
        <v>3.1415926535897931</v>
      </c>
      <c r="D139" s="717">
        <f t="shared" si="4"/>
        <v>5.7</v>
      </c>
      <c r="E139" s="717">
        <f t="shared" si="2"/>
        <v>0.2</v>
      </c>
      <c r="F139" s="1575">
        <v>1</v>
      </c>
      <c r="G139" s="154">
        <f t="shared" si="0"/>
        <v>3.5814156250923648</v>
      </c>
      <c r="H139" s="1574">
        <f>Data!I1154</f>
        <v>29330</v>
      </c>
      <c r="I139" s="154">
        <v>1</v>
      </c>
      <c r="J139" s="154" t="s">
        <v>20</v>
      </c>
      <c r="K139" s="1556">
        <f t="shared" si="3"/>
        <v>105043</v>
      </c>
    </row>
    <row r="140" spans="1:11" x14ac:dyDescent="0.25">
      <c r="A140" s="120"/>
      <c r="B140" s="129" t="s">
        <v>432</v>
      </c>
      <c r="C140" s="1567">
        <f>PI()</f>
        <v>3.1415926535897931</v>
      </c>
      <c r="D140" s="717">
        <f t="shared" si="4"/>
        <v>5.7</v>
      </c>
      <c r="E140" s="717">
        <f t="shared" si="2"/>
        <v>0.2</v>
      </c>
      <c r="F140" s="1575">
        <v>1</v>
      </c>
      <c r="G140" s="154">
        <f t="shared" si="0"/>
        <v>3.5814156250923648</v>
      </c>
      <c r="H140" s="1574">
        <f>Data!I1155</f>
        <v>29482.2</v>
      </c>
      <c r="I140" s="154">
        <v>1</v>
      </c>
      <c r="J140" s="154" t="s">
        <v>20</v>
      </c>
      <c r="K140" s="1556">
        <f t="shared" si="3"/>
        <v>105588</v>
      </c>
    </row>
    <row r="141" spans="1:11" x14ac:dyDescent="0.25">
      <c r="A141" s="120"/>
      <c r="B141" s="129" t="s">
        <v>433</v>
      </c>
      <c r="C141" s="1567">
        <f>PI()</f>
        <v>3.1415926535897931</v>
      </c>
      <c r="D141" s="717">
        <f t="shared" si="4"/>
        <v>5.7</v>
      </c>
      <c r="E141" s="717">
        <f t="shared" si="2"/>
        <v>0.2</v>
      </c>
      <c r="F141" s="1575">
        <v>1</v>
      </c>
      <c r="G141" s="154">
        <f t="shared" si="0"/>
        <v>3.5814156250923648</v>
      </c>
      <c r="H141" s="1574">
        <f>Data!I1156</f>
        <v>29634.400000000001</v>
      </c>
      <c r="I141" s="154">
        <v>1</v>
      </c>
      <c r="J141" s="154" t="s">
        <v>20</v>
      </c>
      <c r="K141" s="1556">
        <f t="shared" si="3"/>
        <v>106133</v>
      </c>
    </row>
    <row r="142" spans="1:11" x14ac:dyDescent="0.25">
      <c r="A142" s="120"/>
      <c r="B142" s="129" t="s">
        <v>434</v>
      </c>
      <c r="C142" s="1567">
        <f>PI()</f>
        <v>3.1415926535897931</v>
      </c>
      <c r="D142" s="717">
        <f t="shared" si="4"/>
        <v>5.7</v>
      </c>
      <c r="E142" s="717">
        <f t="shared" si="2"/>
        <v>0.2</v>
      </c>
      <c r="F142" s="1575">
        <v>1</v>
      </c>
      <c r="G142" s="154">
        <f t="shared" si="0"/>
        <v>3.5814156250923648</v>
      </c>
      <c r="H142" s="1574">
        <f>Data!I1157</f>
        <v>29786.6</v>
      </c>
      <c r="I142" s="154">
        <v>1</v>
      </c>
      <c r="J142" s="154" t="s">
        <v>20</v>
      </c>
      <c r="K142" s="1556">
        <f t="shared" si="3"/>
        <v>106678</v>
      </c>
    </row>
    <row r="143" spans="1:11" x14ac:dyDescent="0.25">
      <c r="A143" s="120"/>
      <c r="B143" s="129" t="s">
        <v>435</v>
      </c>
      <c r="C143" s="1567">
        <f>PI()</f>
        <v>3.1415926535897931</v>
      </c>
      <c r="D143" s="717">
        <f t="shared" si="4"/>
        <v>5.7</v>
      </c>
      <c r="E143" s="717">
        <f t="shared" si="2"/>
        <v>0.2</v>
      </c>
      <c r="F143" s="1575">
        <v>1</v>
      </c>
      <c r="G143" s="154">
        <f t="shared" si="0"/>
        <v>3.5814156250923648</v>
      </c>
      <c r="H143" s="1574">
        <f>Data!I1158</f>
        <v>29938.799999999999</v>
      </c>
      <c r="I143" s="154">
        <v>1</v>
      </c>
      <c r="J143" s="154" t="s">
        <v>20</v>
      </c>
      <c r="K143" s="1556">
        <f t="shared" si="3"/>
        <v>107223</v>
      </c>
    </row>
    <row r="144" spans="1:11" x14ac:dyDescent="0.25">
      <c r="A144" s="120"/>
      <c r="B144" s="129" t="s">
        <v>436</v>
      </c>
      <c r="C144" s="1567">
        <f>PI()</f>
        <v>3.1415926535897931</v>
      </c>
      <c r="D144" s="717">
        <f t="shared" si="4"/>
        <v>5.7</v>
      </c>
      <c r="E144" s="717">
        <f t="shared" si="2"/>
        <v>0.2</v>
      </c>
      <c r="F144" s="1575">
        <v>1</v>
      </c>
      <c r="G144" s="154">
        <f t="shared" si="0"/>
        <v>3.5814156250923648</v>
      </c>
      <c r="H144" s="1574">
        <f>Data!I1159</f>
        <v>30091</v>
      </c>
      <c r="I144" s="154">
        <v>1</v>
      </c>
      <c r="J144" s="154" t="s">
        <v>20</v>
      </c>
      <c r="K144" s="1556">
        <f t="shared" si="3"/>
        <v>107768</v>
      </c>
    </row>
    <row r="145" spans="1:11" x14ac:dyDescent="0.25">
      <c r="A145" s="120"/>
      <c r="B145" s="129" t="s">
        <v>437</v>
      </c>
      <c r="C145" s="1567">
        <f>PI()</f>
        <v>3.1415926535897931</v>
      </c>
      <c r="D145" s="717">
        <f t="shared" si="4"/>
        <v>5.7</v>
      </c>
      <c r="E145" s="717">
        <f t="shared" si="2"/>
        <v>0.2</v>
      </c>
      <c r="F145" s="1575">
        <v>1</v>
      </c>
      <c r="G145" s="154">
        <f t="shared" si="0"/>
        <v>3.5814156250923648</v>
      </c>
      <c r="H145" s="1574">
        <f>Data!I1160</f>
        <v>30243.200000000001</v>
      </c>
      <c r="I145" s="154">
        <v>1</v>
      </c>
      <c r="J145" s="154" t="s">
        <v>20</v>
      </c>
      <c r="K145" s="1556">
        <f t="shared" si="3"/>
        <v>108313</v>
      </c>
    </row>
    <row r="146" spans="1:11" x14ac:dyDescent="0.25">
      <c r="A146" s="120"/>
      <c r="B146" s="129" t="s">
        <v>438</v>
      </c>
      <c r="C146" s="1567">
        <f>PI()</f>
        <v>3.1415926535897931</v>
      </c>
      <c r="D146" s="717">
        <f t="shared" si="4"/>
        <v>5.7</v>
      </c>
      <c r="E146" s="717">
        <f t="shared" si="2"/>
        <v>0.2</v>
      </c>
      <c r="F146" s="1575">
        <v>1</v>
      </c>
      <c r="G146" s="154">
        <f t="shared" si="0"/>
        <v>3.5814156250923648</v>
      </c>
      <c r="H146" s="1574">
        <f>Data!I1161</f>
        <v>30395.4</v>
      </c>
      <c r="I146" s="154">
        <v>1</v>
      </c>
      <c r="J146" s="154" t="s">
        <v>20</v>
      </c>
      <c r="K146" s="1556">
        <f t="shared" si="3"/>
        <v>108859</v>
      </c>
    </row>
    <row r="147" spans="1:11" x14ac:dyDescent="0.25">
      <c r="A147" s="120"/>
      <c r="B147" s="129" t="s">
        <v>439</v>
      </c>
      <c r="C147" s="1567">
        <f>PI()</f>
        <v>3.1415926535897931</v>
      </c>
      <c r="D147" s="717">
        <f t="shared" si="4"/>
        <v>5.7</v>
      </c>
      <c r="E147" s="717">
        <f t="shared" si="2"/>
        <v>0.2</v>
      </c>
      <c r="F147" s="1575">
        <v>1</v>
      </c>
      <c r="G147" s="154">
        <f t="shared" si="0"/>
        <v>3.5814156250923648</v>
      </c>
      <c r="H147" s="1574">
        <f>Data!I1162</f>
        <v>30547.599999999999</v>
      </c>
      <c r="I147" s="154">
        <v>1</v>
      </c>
      <c r="J147" s="154" t="s">
        <v>20</v>
      </c>
      <c r="K147" s="1556">
        <f t="shared" si="3"/>
        <v>109404</v>
      </c>
    </row>
    <row r="148" spans="1:11" x14ac:dyDescent="0.25">
      <c r="A148" s="120"/>
      <c r="B148" s="129" t="s">
        <v>440</v>
      </c>
      <c r="C148" s="1567">
        <f>PI()</f>
        <v>3.1415926535897931</v>
      </c>
      <c r="D148" s="717">
        <f t="shared" si="4"/>
        <v>5.7</v>
      </c>
      <c r="E148" s="717">
        <f t="shared" si="2"/>
        <v>0.2</v>
      </c>
      <c r="F148" s="1575">
        <v>1</v>
      </c>
      <c r="G148" s="154">
        <f t="shared" si="0"/>
        <v>3.5814156250923648</v>
      </c>
      <c r="H148" s="1574">
        <f>Data!I1163</f>
        <v>30699.8</v>
      </c>
      <c r="I148" s="154">
        <v>1</v>
      </c>
      <c r="J148" s="154" t="s">
        <v>20</v>
      </c>
      <c r="K148" s="1556">
        <f t="shared" si="3"/>
        <v>109949</v>
      </c>
    </row>
    <row r="149" spans="1:11" x14ac:dyDescent="0.25">
      <c r="A149" s="120"/>
      <c r="B149" s="129" t="s">
        <v>441</v>
      </c>
      <c r="C149" s="1567">
        <f>PI()</f>
        <v>3.1415926535897931</v>
      </c>
      <c r="D149" s="717">
        <f t="shared" si="4"/>
        <v>5.7</v>
      </c>
      <c r="E149" s="717">
        <f t="shared" si="2"/>
        <v>0.2</v>
      </c>
      <c r="F149" s="1575">
        <v>1</v>
      </c>
      <c r="G149" s="154">
        <f t="shared" si="0"/>
        <v>3.5814156250923648</v>
      </c>
      <c r="H149" s="1574">
        <f>Data!I1164</f>
        <v>30852</v>
      </c>
      <c r="I149" s="154">
        <v>1</v>
      </c>
      <c r="J149" s="154" t="s">
        <v>20</v>
      </c>
      <c r="K149" s="1556">
        <f t="shared" si="3"/>
        <v>110494</v>
      </c>
    </row>
    <row r="150" spans="1:11" x14ac:dyDescent="0.25">
      <c r="A150" s="120"/>
      <c r="B150" s="129" t="s">
        <v>442</v>
      </c>
      <c r="C150" s="1567">
        <f>PI()</f>
        <v>3.1415926535897931</v>
      </c>
      <c r="D150" s="717">
        <f t="shared" si="4"/>
        <v>5.7</v>
      </c>
      <c r="E150" s="717">
        <f t="shared" si="2"/>
        <v>0.2</v>
      </c>
      <c r="F150" s="1575">
        <v>1</v>
      </c>
      <c r="G150" s="154">
        <f t="shared" si="0"/>
        <v>3.5814156250923648</v>
      </c>
      <c r="H150" s="1574">
        <f>Data!I1165</f>
        <v>31004.2</v>
      </c>
      <c r="I150" s="154">
        <v>1</v>
      </c>
      <c r="J150" s="154" t="s">
        <v>20</v>
      </c>
      <c r="K150" s="1556">
        <f t="shared" si="3"/>
        <v>111039</v>
      </c>
    </row>
    <row r="151" spans="1:11" x14ac:dyDescent="0.25">
      <c r="A151" s="120"/>
      <c r="B151" s="129" t="s">
        <v>443</v>
      </c>
      <c r="C151" s="1567">
        <f>PI()</f>
        <v>3.1415926535897931</v>
      </c>
      <c r="D151" s="717">
        <f t="shared" si="4"/>
        <v>5.7</v>
      </c>
      <c r="E151" s="717">
        <f t="shared" si="2"/>
        <v>0.2</v>
      </c>
      <c r="F151" s="1575">
        <v>1</v>
      </c>
      <c r="G151" s="154">
        <f t="shared" si="0"/>
        <v>3.5814156250923648</v>
      </c>
      <c r="H151" s="1574">
        <f>Data!I1166</f>
        <v>31156.400000000001</v>
      </c>
      <c r="I151" s="154">
        <v>1</v>
      </c>
      <c r="J151" s="154" t="s">
        <v>20</v>
      </c>
      <c r="K151" s="1556">
        <f t="shared" si="3"/>
        <v>111584</v>
      </c>
    </row>
    <row r="152" spans="1:11" x14ac:dyDescent="0.25">
      <c r="A152" s="120"/>
      <c r="B152" s="129" t="s">
        <v>444</v>
      </c>
      <c r="C152" s="1567">
        <f>PI()</f>
        <v>3.1415926535897931</v>
      </c>
      <c r="D152" s="717">
        <f t="shared" si="4"/>
        <v>5.7</v>
      </c>
      <c r="E152" s="717">
        <f t="shared" si="2"/>
        <v>0.2</v>
      </c>
      <c r="F152" s="1575">
        <v>1</v>
      </c>
      <c r="G152" s="154">
        <f t="shared" si="0"/>
        <v>3.5814156250923648</v>
      </c>
      <c r="H152" s="1574">
        <f>Data!I1167</f>
        <v>31308.6</v>
      </c>
      <c r="I152" s="154">
        <v>1</v>
      </c>
      <c r="J152" s="154" t="s">
        <v>20</v>
      </c>
      <c r="K152" s="1556">
        <f t="shared" si="3"/>
        <v>112129</v>
      </c>
    </row>
    <row r="153" spans="1:11" x14ac:dyDescent="0.25">
      <c r="A153" s="120"/>
      <c r="B153" s="129" t="s">
        <v>445</v>
      </c>
      <c r="C153" s="1567">
        <f>PI()</f>
        <v>3.1415926535897931</v>
      </c>
      <c r="D153" s="717">
        <f t="shared" si="4"/>
        <v>5.7</v>
      </c>
      <c r="E153" s="717">
        <f t="shared" si="2"/>
        <v>0.2</v>
      </c>
      <c r="F153" s="1575">
        <v>1</v>
      </c>
      <c r="G153" s="154">
        <f t="shared" si="0"/>
        <v>3.5814156250923648</v>
      </c>
      <c r="H153" s="1574">
        <f>Data!I1168</f>
        <v>31460.799999999999</v>
      </c>
      <c r="I153" s="154">
        <v>1</v>
      </c>
      <c r="J153" s="154" t="s">
        <v>20</v>
      </c>
      <c r="K153" s="1556">
        <f t="shared" si="3"/>
        <v>112674</v>
      </c>
    </row>
    <row r="154" spans="1:11" x14ac:dyDescent="0.25">
      <c r="A154" s="120"/>
      <c r="B154" s="129" t="s">
        <v>446</v>
      </c>
      <c r="C154" s="1567">
        <f>PI()</f>
        <v>3.1415926535897931</v>
      </c>
      <c r="D154" s="717">
        <f t="shared" si="4"/>
        <v>5.7</v>
      </c>
      <c r="E154" s="717">
        <f t="shared" si="2"/>
        <v>0.2</v>
      </c>
      <c r="F154" s="1575">
        <v>1</v>
      </c>
      <c r="G154" s="154">
        <f t="shared" si="0"/>
        <v>3.5814156250923648</v>
      </c>
      <c r="H154" s="1574">
        <f>Data!I1169</f>
        <v>31613</v>
      </c>
      <c r="I154" s="154">
        <v>1</v>
      </c>
      <c r="J154" s="154" t="s">
        <v>20</v>
      </c>
      <c r="K154" s="1556">
        <f t="shared" si="3"/>
        <v>113219</v>
      </c>
    </row>
    <row r="155" spans="1:11" x14ac:dyDescent="0.25">
      <c r="A155" s="120"/>
      <c r="B155" s="129" t="s">
        <v>447</v>
      </c>
      <c r="C155" s="1567">
        <f>PI()</f>
        <v>3.1415926535897931</v>
      </c>
      <c r="D155" s="717">
        <f t="shared" si="4"/>
        <v>5.7</v>
      </c>
      <c r="E155" s="717">
        <f t="shared" si="2"/>
        <v>0.2</v>
      </c>
      <c r="F155" s="1575">
        <v>1</v>
      </c>
      <c r="G155" s="154">
        <f t="shared" si="0"/>
        <v>3.5814156250923648</v>
      </c>
      <c r="H155" s="1574">
        <f>Data!I1170</f>
        <v>31765.200000000001</v>
      </c>
      <c r="I155" s="154">
        <v>1</v>
      </c>
      <c r="J155" s="154" t="s">
        <v>20</v>
      </c>
      <c r="K155" s="1556">
        <f t="shared" si="3"/>
        <v>113764</v>
      </c>
    </row>
    <row r="156" spans="1:11" x14ac:dyDescent="0.25">
      <c r="A156" s="120"/>
      <c r="B156" s="129" t="s">
        <v>448</v>
      </c>
      <c r="C156" s="1567">
        <f>PI()</f>
        <v>3.1415926535897931</v>
      </c>
      <c r="D156" s="717">
        <f t="shared" si="4"/>
        <v>5.7</v>
      </c>
      <c r="E156" s="717">
        <f t="shared" si="2"/>
        <v>0.2</v>
      </c>
      <c r="F156" s="1575">
        <v>1</v>
      </c>
      <c r="G156" s="154">
        <f t="shared" si="0"/>
        <v>3.5814156250923648</v>
      </c>
      <c r="H156" s="1574">
        <f>Data!I1171</f>
        <v>31917.4</v>
      </c>
      <c r="I156" s="154">
        <v>1</v>
      </c>
      <c r="J156" s="154" t="s">
        <v>20</v>
      </c>
      <c r="K156" s="1556">
        <f t="shared" si="3"/>
        <v>114309</v>
      </c>
    </row>
    <row r="157" spans="1:11" x14ac:dyDescent="0.25">
      <c r="A157" s="120"/>
      <c r="B157" s="105"/>
      <c r="C157" s="1567"/>
      <c r="D157" s="717"/>
      <c r="E157" s="717"/>
      <c r="G157" s="290"/>
      <c r="H157" s="154"/>
      <c r="I157" s="154"/>
      <c r="J157" s="154"/>
      <c r="K157" s="378"/>
    </row>
    <row r="158" spans="1:11" x14ac:dyDescent="0.25">
      <c r="A158" s="120">
        <v>8</v>
      </c>
      <c r="B158" s="110" t="s">
        <v>1787</v>
      </c>
      <c r="H158" s="154"/>
      <c r="I158" s="154"/>
      <c r="J158" s="154"/>
      <c r="K158" s="378"/>
    </row>
    <row r="159" spans="1:11" x14ac:dyDescent="0.25">
      <c r="A159" s="120"/>
      <c r="B159" s="105" t="s">
        <v>479</v>
      </c>
      <c r="H159" s="154"/>
      <c r="I159" s="154"/>
      <c r="J159" s="154"/>
      <c r="K159" s="378"/>
    </row>
    <row r="160" spans="1:11" x14ac:dyDescent="0.25">
      <c r="A160" s="120"/>
      <c r="B160" s="541" t="s">
        <v>1796</v>
      </c>
      <c r="C160" s="97" t="s">
        <v>1797</v>
      </c>
      <c r="D160" t="s">
        <v>481</v>
      </c>
      <c r="H160" s="154"/>
      <c r="I160" s="154"/>
      <c r="J160" s="154"/>
      <c r="K160" s="378"/>
    </row>
    <row r="161" spans="1:11" x14ac:dyDescent="0.25">
      <c r="A161" s="120"/>
      <c r="B161" s="550"/>
      <c r="C161" s="1562">
        <f>PI()*2</f>
        <v>6.2831853071795862</v>
      </c>
      <c r="D161" s="717">
        <f>E25</f>
        <v>5.18</v>
      </c>
      <c r="E161" s="717">
        <f>E26</f>
        <v>0.79</v>
      </c>
      <c r="F161" s="290">
        <f>E27</f>
        <v>0.3</v>
      </c>
      <c r="G161" s="154">
        <f>C161*D161*E161*F161</f>
        <v>7.7136152742120911</v>
      </c>
      <c r="H161" s="154">
        <f>Data!I1181</f>
        <v>24798.6</v>
      </c>
      <c r="I161" s="154">
        <v>1</v>
      </c>
      <c r="J161" s="154" t="s">
        <v>20</v>
      </c>
      <c r="K161" s="378">
        <f>ROUND(G161*H161/I161,0)</f>
        <v>191287</v>
      </c>
    </row>
    <row r="162" spans="1:11" x14ac:dyDescent="0.25">
      <c r="A162" s="120"/>
      <c r="K162" s="378"/>
    </row>
    <row r="163" spans="1:11" x14ac:dyDescent="0.25">
      <c r="A163" s="120">
        <v>9</v>
      </c>
      <c r="B163" s="110" t="s">
        <v>1787</v>
      </c>
      <c r="H163" s="154"/>
      <c r="I163" s="154"/>
      <c r="J163" s="154"/>
      <c r="K163" s="378"/>
    </row>
    <row r="164" spans="1:11" x14ac:dyDescent="0.25">
      <c r="A164" s="120"/>
      <c r="B164" s="105" t="s">
        <v>479</v>
      </c>
      <c r="H164" s="154"/>
      <c r="I164" s="154"/>
      <c r="J164" s="154"/>
      <c r="K164" s="378"/>
    </row>
    <row r="165" spans="1:11" x14ac:dyDescent="0.25">
      <c r="A165" s="120"/>
      <c r="B165" s="541" t="s">
        <v>1796</v>
      </c>
      <c r="C165" s="97" t="s">
        <v>1798</v>
      </c>
      <c r="D165" t="s">
        <v>481</v>
      </c>
      <c r="H165" s="154"/>
      <c r="I165" s="154"/>
      <c r="J165" s="154"/>
      <c r="K165" s="378"/>
    </row>
    <row r="166" spans="1:11" x14ac:dyDescent="0.25">
      <c r="A166" s="120"/>
      <c r="B166" s="550"/>
      <c r="C166" s="1562">
        <f>PI()</f>
        <v>3.1415926535897931</v>
      </c>
      <c r="D166" s="717">
        <f>E22+E29</f>
        <v>5.8</v>
      </c>
      <c r="E166" s="290">
        <f>E29</f>
        <v>0.3</v>
      </c>
      <c r="F166" s="154">
        <f>E30</f>
        <v>0.4</v>
      </c>
      <c r="G166" s="154">
        <f>C166*D166*E166*F166</f>
        <v>2.1865484868984963</v>
      </c>
      <c r="H166" s="154">
        <f>Data!I1201</f>
        <v>26582.1</v>
      </c>
      <c r="I166" s="154">
        <v>1</v>
      </c>
      <c r="J166" s="154" t="s">
        <v>20</v>
      </c>
      <c r="K166" s="378">
        <f>ROUND(G166*H166/I166,0)</f>
        <v>58123</v>
      </c>
    </row>
    <row r="167" spans="1:11" x14ac:dyDescent="0.25">
      <c r="A167" s="120"/>
      <c r="K167" s="378"/>
    </row>
    <row r="168" spans="1:11" x14ac:dyDescent="0.25">
      <c r="A168" s="120">
        <v>10</v>
      </c>
      <c r="B168" s="110" t="s">
        <v>1787</v>
      </c>
      <c r="H168" s="154"/>
      <c r="I168" s="154"/>
      <c r="J168" s="154"/>
      <c r="K168" s="378"/>
    </row>
    <row r="169" spans="1:11" x14ac:dyDescent="0.25">
      <c r="A169" s="120"/>
      <c r="B169" s="105" t="s">
        <v>1799</v>
      </c>
      <c r="H169" s="154"/>
      <c r="I169" s="154"/>
      <c r="J169" s="154"/>
      <c r="K169" s="378"/>
    </row>
    <row r="170" spans="1:11" x14ac:dyDescent="0.25">
      <c r="A170" s="120"/>
      <c r="B170" s="105" t="s">
        <v>1800</v>
      </c>
      <c r="H170" s="154"/>
      <c r="I170" s="154"/>
      <c r="J170" s="154"/>
      <c r="K170" s="378"/>
    </row>
    <row r="171" spans="1:11" x14ac:dyDescent="0.25">
      <c r="A171" s="120"/>
      <c r="B171" s="550"/>
      <c r="C171" s="1567">
        <f>PI()</f>
        <v>3.1415926535897931</v>
      </c>
      <c r="D171" s="717">
        <f>+E31</f>
        <v>8.1</v>
      </c>
      <c r="E171" s="1576">
        <f>E32</f>
        <v>0.2</v>
      </c>
      <c r="F171" s="154">
        <f>E33</f>
        <v>3.68</v>
      </c>
      <c r="G171" s="154">
        <f>C171*D171*E171*F171</f>
        <v>18.728918763640909</v>
      </c>
      <c r="H171" s="154">
        <f>Data!I1211</f>
        <v>32375.3</v>
      </c>
      <c r="I171" s="154">
        <v>1</v>
      </c>
      <c r="J171" s="154" t="s">
        <v>20</v>
      </c>
      <c r="K171" s="378">
        <f>ROUND(G171*H171/I171,0)</f>
        <v>606354</v>
      </c>
    </row>
    <row r="172" spans="1:11" x14ac:dyDescent="0.25">
      <c r="A172" s="120"/>
      <c r="B172" s="105"/>
      <c r="E172" s="154"/>
      <c r="G172" s="154"/>
      <c r="H172" s="154"/>
      <c r="I172" s="154"/>
      <c r="J172" s="154"/>
      <c r="K172" s="378"/>
    </row>
    <row r="173" spans="1:11" x14ac:dyDescent="0.25">
      <c r="A173" s="120">
        <v>11</v>
      </c>
      <c r="B173" s="110" t="s">
        <v>1787</v>
      </c>
      <c r="H173" s="154"/>
      <c r="I173" s="154"/>
      <c r="J173" s="154"/>
      <c r="K173" s="378"/>
    </row>
    <row r="174" spans="1:11" x14ac:dyDescent="0.25">
      <c r="A174" s="120"/>
      <c r="B174" s="105" t="s">
        <v>479</v>
      </c>
      <c r="H174" s="154"/>
      <c r="I174" s="154"/>
      <c r="J174" s="154"/>
      <c r="K174" s="378"/>
    </row>
    <row r="175" spans="1:11" x14ac:dyDescent="0.25">
      <c r="A175" s="120"/>
      <c r="B175" s="541" t="s">
        <v>1801</v>
      </c>
      <c r="C175" s="119" t="s">
        <v>1798</v>
      </c>
      <c r="D175" t="s">
        <v>481</v>
      </c>
      <c r="H175" s="154"/>
      <c r="I175" s="154"/>
      <c r="J175" s="154"/>
      <c r="K175" s="378"/>
    </row>
    <row r="176" spans="1:11" x14ac:dyDescent="0.25">
      <c r="A176" s="120"/>
      <c r="B176" s="550"/>
      <c r="C176" s="1577">
        <f>PI()</f>
        <v>3.1415926535897931</v>
      </c>
      <c r="D176" s="717">
        <f>+E38+E36</f>
        <v>11</v>
      </c>
      <c r="E176" s="290">
        <f>E36</f>
        <v>0.3</v>
      </c>
      <c r="F176" s="154">
        <f>E37</f>
        <v>0.4</v>
      </c>
      <c r="G176" s="154">
        <f>C176*D176*E176*F176</f>
        <v>4.1469023027385266</v>
      </c>
      <c r="H176" s="154">
        <f>Data!I1221</f>
        <v>27495.5</v>
      </c>
      <c r="I176" s="154">
        <v>1</v>
      </c>
      <c r="J176" s="154" t="s">
        <v>20</v>
      </c>
      <c r="K176" s="378">
        <f>ROUND(G176*H176/I176,0)</f>
        <v>114021</v>
      </c>
    </row>
    <row r="177" spans="1:11" x14ac:dyDescent="0.25">
      <c r="A177" s="120"/>
      <c r="B177" s="105"/>
      <c r="E177" s="154"/>
      <c r="G177" s="154"/>
      <c r="H177" s="154"/>
      <c r="I177" s="154"/>
      <c r="J177" s="154"/>
      <c r="K177" s="378"/>
    </row>
    <row r="178" spans="1:11" x14ac:dyDescent="0.25">
      <c r="A178" s="120">
        <v>12</v>
      </c>
      <c r="B178" s="110" t="s">
        <v>1787</v>
      </c>
      <c r="H178" s="154"/>
      <c r="I178" s="154"/>
      <c r="J178" s="154"/>
      <c r="K178" s="378"/>
    </row>
    <row r="179" spans="1:11" x14ac:dyDescent="0.25">
      <c r="A179" s="120"/>
      <c r="B179" s="105" t="s">
        <v>479</v>
      </c>
      <c r="H179" s="154"/>
      <c r="I179" s="154"/>
      <c r="J179" s="154"/>
      <c r="K179" s="378"/>
    </row>
    <row r="180" spans="1:11" x14ac:dyDescent="0.25">
      <c r="A180" s="120"/>
      <c r="B180" s="541" t="s">
        <v>1802</v>
      </c>
      <c r="C180" s="97" t="s">
        <v>231</v>
      </c>
      <c r="D180" t="s">
        <v>481</v>
      </c>
      <c r="H180" s="154"/>
      <c r="I180" s="154"/>
      <c r="J180" s="154"/>
      <c r="K180" s="378"/>
    </row>
    <row r="181" spans="1:11" x14ac:dyDescent="0.25">
      <c r="A181" s="120"/>
      <c r="B181" s="550"/>
      <c r="C181" s="1562">
        <f>PI()</f>
        <v>3.1415926535897931</v>
      </c>
      <c r="D181" s="717">
        <f>+(E44+E46)</f>
        <v>1.3499999999999999</v>
      </c>
      <c r="E181" s="290">
        <f>E45</f>
        <v>1.55</v>
      </c>
      <c r="F181" s="290">
        <f>E46</f>
        <v>0.15</v>
      </c>
      <c r="G181" s="154">
        <f>C181*D181*E181*F181</f>
        <v>0.98606739414549638</v>
      </c>
      <c r="H181" s="154">
        <f>Data!I1231</f>
        <v>38741.5</v>
      </c>
      <c r="I181" s="154">
        <v>1</v>
      </c>
      <c r="J181" s="154" t="s">
        <v>20</v>
      </c>
      <c r="K181" s="378">
        <f>ROUND(G181*H181/I181,0)</f>
        <v>38202</v>
      </c>
    </row>
    <row r="182" spans="1:11" x14ac:dyDescent="0.25">
      <c r="A182" s="120"/>
      <c r="B182" s="550" t="s">
        <v>1772</v>
      </c>
      <c r="C182" s="1562">
        <f>PI()</f>
        <v>3.1415926535897931</v>
      </c>
      <c r="D182" s="717">
        <f>+D181+E47</f>
        <v>1.9499999999999997</v>
      </c>
      <c r="E182" s="290">
        <f>+E47</f>
        <v>0.6</v>
      </c>
      <c r="F182" s="290">
        <f>+F181</f>
        <v>0.15</v>
      </c>
      <c r="G182" s="154">
        <f>+C182*D182*E182*F182</f>
        <v>0.55134951070500859</v>
      </c>
      <c r="H182" s="154">
        <f>Data!I1241</f>
        <v>76456.7</v>
      </c>
      <c r="I182" s="154">
        <v>1</v>
      </c>
      <c r="J182" s="154" t="s">
        <v>20</v>
      </c>
      <c r="K182" s="378">
        <f>ROUND(G182*H182/I182,0)</f>
        <v>42154</v>
      </c>
    </row>
    <row r="183" spans="1:11" x14ac:dyDescent="0.25">
      <c r="A183" s="120"/>
      <c r="B183" s="105"/>
      <c r="E183" s="154"/>
      <c r="G183" s="154"/>
      <c r="H183" s="154"/>
      <c r="I183" s="154"/>
      <c r="J183" s="154"/>
      <c r="K183" s="378"/>
    </row>
    <row r="184" spans="1:11" x14ac:dyDescent="0.25">
      <c r="A184" s="1578">
        <v>13</v>
      </c>
      <c r="B184" s="110" t="s">
        <v>1787</v>
      </c>
      <c r="H184" s="154"/>
      <c r="I184" s="154"/>
      <c r="J184" s="154"/>
      <c r="K184" s="378"/>
    </row>
    <row r="185" spans="1:11" x14ac:dyDescent="0.25">
      <c r="A185" s="120"/>
      <c r="B185" s="105" t="s">
        <v>479</v>
      </c>
      <c r="H185" s="154"/>
      <c r="I185" s="154"/>
      <c r="J185" s="154"/>
      <c r="K185" s="378"/>
    </row>
    <row r="186" spans="1:11" x14ac:dyDescent="0.25">
      <c r="A186" s="120"/>
      <c r="B186" s="541" t="s">
        <v>1803</v>
      </c>
      <c r="C186" s="97"/>
      <c r="D186" t="s">
        <v>481</v>
      </c>
      <c r="H186" s="154"/>
      <c r="I186" s="154"/>
      <c r="J186" s="154"/>
      <c r="K186" s="378"/>
    </row>
    <row r="187" spans="1:11" x14ac:dyDescent="0.25">
      <c r="A187" s="120"/>
      <c r="B187" s="550"/>
      <c r="C187" s="1562">
        <f>PI()*2</f>
        <v>6.2831853071795862</v>
      </c>
      <c r="D187" s="717">
        <f>E40</f>
        <v>9.85</v>
      </c>
      <c r="E187" s="717">
        <f>E41</f>
        <v>1.5</v>
      </c>
      <c r="F187" s="154">
        <f>E42</f>
        <v>0.125</v>
      </c>
      <c r="G187" s="154">
        <f>C187*D187*E187*F187</f>
        <v>11.604257864197297</v>
      </c>
      <c r="K187" s="378"/>
    </row>
    <row r="188" spans="1:11" x14ac:dyDescent="0.25">
      <c r="A188" s="120"/>
      <c r="B188" s="391" t="s">
        <v>1804</v>
      </c>
      <c r="C188" s="120">
        <v>2</v>
      </c>
      <c r="D188" s="717">
        <v>0.6</v>
      </c>
      <c r="E188" s="717">
        <v>0.6</v>
      </c>
      <c r="F188" s="154">
        <f>+F187</f>
        <v>0.125</v>
      </c>
      <c r="G188" s="154">
        <f>C188*D188*E188*F188</f>
        <v>0.09</v>
      </c>
      <c r="H188" s="154"/>
      <c r="I188" s="154"/>
      <c r="J188" s="154"/>
      <c r="K188" s="378"/>
    </row>
    <row r="189" spans="1:11" x14ac:dyDescent="0.25">
      <c r="A189" s="120"/>
      <c r="B189" s="391" t="s">
        <v>1805</v>
      </c>
      <c r="C189" s="1562">
        <f>PI()/4</f>
        <v>0.78539816339744828</v>
      </c>
      <c r="D189" s="717">
        <v>0.6</v>
      </c>
      <c r="E189" s="717">
        <v>0.6</v>
      </c>
      <c r="F189" s="154">
        <f>+F187</f>
        <v>0.125</v>
      </c>
      <c r="G189" s="154">
        <f>C189*D189*E189*F189</f>
        <v>3.5342917352885174E-2</v>
      </c>
      <c r="H189" s="154"/>
      <c r="I189" s="154"/>
      <c r="J189" s="154"/>
      <c r="K189" s="378"/>
    </row>
    <row r="190" spans="1:11" x14ac:dyDescent="0.25">
      <c r="A190" s="120"/>
      <c r="B190" s="391"/>
      <c r="C190" s="120"/>
      <c r="D190" s="717"/>
      <c r="E190" s="717"/>
      <c r="F190" s="154"/>
      <c r="G190" s="154">
        <f>G187-G188-G189</f>
        <v>11.478914946844412</v>
      </c>
      <c r="H190" s="154">
        <f>Data!I1251</f>
        <v>45035.6</v>
      </c>
      <c r="I190" s="154">
        <v>1</v>
      </c>
      <c r="J190" s="154" t="s">
        <v>20</v>
      </c>
      <c r="K190" s="378">
        <f>ROUND(G190*H190/I190,0)</f>
        <v>516960</v>
      </c>
    </row>
    <row r="191" spans="1:11" x14ac:dyDescent="0.25">
      <c r="A191" s="120">
        <v>14</v>
      </c>
      <c r="B191" s="550" t="s">
        <v>1806</v>
      </c>
      <c r="K191" s="378"/>
    </row>
    <row r="192" spans="1:11" x14ac:dyDescent="0.25">
      <c r="A192" s="120"/>
      <c r="B192" s="105" t="s">
        <v>1807</v>
      </c>
      <c r="E192" s="154"/>
      <c r="F192" s="154"/>
      <c r="G192" s="154"/>
      <c r="H192" s="154"/>
      <c r="I192" s="154"/>
      <c r="J192" s="154"/>
      <c r="K192" s="378"/>
    </row>
    <row r="193" spans="1:11" x14ac:dyDescent="0.25">
      <c r="A193" s="120"/>
      <c r="B193" s="391" t="s">
        <v>185</v>
      </c>
      <c r="C193" s="1567">
        <f>PI()</f>
        <v>3.1415926535897931</v>
      </c>
      <c r="D193" s="154">
        <f>+E31</f>
        <v>8.1</v>
      </c>
      <c r="E193" s="717">
        <f>E33</f>
        <v>3.68</v>
      </c>
      <c r="F193" s="154">
        <v>1</v>
      </c>
      <c r="G193" s="154">
        <f>C193*D193*E193*F193</f>
        <v>93.644593818204555</v>
      </c>
      <c r="H193" s="154"/>
      <c r="I193" s="154"/>
      <c r="J193" s="154"/>
      <c r="K193" s="378"/>
    </row>
    <row r="194" spans="1:11" x14ac:dyDescent="0.25">
      <c r="A194" s="120"/>
      <c r="B194" s="391" t="s">
        <v>1808</v>
      </c>
      <c r="C194" s="1579">
        <f>PI()*2</f>
        <v>6.2831853071795862</v>
      </c>
      <c r="D194" s="154">
        <f>D161</f>
        <v>5.18</v>
      </c>
      <c r="E194" s="717">
        <f>E161</f>
        <v>0.79</v>
      </c>
      <c r="F194" s="154">
        <v>1</v>
      </c>
      <c r="G194" s="154">
        <f>C194*D194*E194*F194</f>
        <v>25.712050914040304</v>
      </c>
      <c r="H194" s="154"/>
      <c r="I194" s="154"/>
      <c r="J194" s="154"/>
      <c r="K194" s="378"/>
    </row>
    <row r="195" spans="1:11" x14ac:dyDescent="0.25">
      <c r="A195" s="120"/>
      <c r="B195" s="550"/>
      <c r="C195" s="378"/>
      <c r="D195" s="756"/>
      <c r="E195" s="154"/>
      <c r="F195" s="154"/>
      <c r="G195" s="553">
        <f>SUM(G193:G194)</f>
        <v>119.35664473224486</v>
      </c>
      <c r="H195" s="154">
        <f>Data!I233</f>
        <v>2436.1999999999998</v>
      </c>
      <c r="I195" s="154">
        <v>10</v>
      </c>
      <c r="J195" s="154" t="s">
        <v>1087</v>
      </c>
      <c r="K195" s="378">
        <f>ROUND(G195*H195/I195,0)</f>
        <v>29078</v>
      </c>
    </row>
    <row r="196" spans="1:11" x14ac:dyDescent="0.25">
      <c r="A196" s="120"/>
      <c r="B196" s="105"/>
      <c r="E196" s="154"/>
      <c r="F196" s="1517"/>
      <c r="K196" s="378"/>
    </row>
    <row r="197" spans="1:11" x14ac:dyDescent="0.25">
      <c r="A197" s="120">
        <v>15</v>
      </c>
      <c r="B197" s="1580" t="s">
        <v>1809</v>
      </c>
      <c r="K197" s="378"/>
    </row>
    <row r="198" spans="1:11" x14ac:dyDescent="0.25">
      <c r="A198" s="120"/>
      <c r="B198" s="111" t="s">
        <v>1810</v>
      </c>
      <c r="F198" s="154"/>
      <c r="K198" s="378"/>
    </row>
    <row r="199" spans="1:11" x14ac:dyDescent="0.25">
      <c r="A199" s="120"/>
      <c r="B199" s="105"/>
      <c r="E199" s="154"/>
      <c r="F199" s="1517"/>
      <c r="K199" s="378"/>
    </row>
    <row r="200" spans="1:11" x14ac:dyDescent="0.25">
      <c r="A200" s="120"/>
      <c r="B200" s="391" t="s">
        <v>1811</v>
      </c>
      <c r="C200" s="1567">
        <f>PI()</f>
        <v>3.1415926535897931</v>
      </c>
      <c r="D200">
        <f>+E22+E23*2</f>
        <v>5.9</v>
      </c>
      <c r="E200" s="154">
        <f>E18</f>
        <v>30</v>
      </c>
      <c r="F200" s="1517">
        <v>1</v>
      </c>
      <c r="G200" s="154">
        <f>C200*D200*E200*F200</f>
        <v>556.06189968539343</v>
      </c>
      <c r="K200" s="378"/>
    </row>
    <row r="201" spans="1:11" x14ac:dyDescent="0.25">
      <c r="A201" s="120"/>
      <c r="B201" s="391" t="s">
        <v>1812</v>
      </c>
      <c r="C201" s="1567">
        <f>PI()</f>
        <v>3.1415926535897931</v>
      </c>
      <c r="D201">
        <f>+E22+E29*2</f>
        <v>6.1</v>
      </c>
      <c r="E201" s="290">
        <f>E30</f>
        <v>0.4</v>
      </c>
      <c r="F201" s="1517">
        <v>1</v>
      </c>
      <c r="G201" s="154">
        <f t="shared" ref="G201:G208" si="5">C201*D201*E201*F201</f>
        <v>7.6654860747590945</v>
      </c>
      <c r="K201" s="378"/>
    </row>
    <row r="202" spans="1:11" x14ac:dyDescent="0.25">
      <c r="A202" s="120"/>
      <c r="B202" s="391" t="s">
        <v>185</v>
      </c>
      <c r="C202" s="1567">
        <f>PI()</f>
        <v>3.1415926535897931</v>
      </c>
      <c r="D202">
        <f>E31+E32*2</f>
        <v>8.5</v>
      </c>
      <c r="E202" s="154"/>
      <c r="F202" s="1517">
        <f>E33</f>
        <v>3.68</v>
      </c>
      <c r="G202" s="154">
        <f>C202*D202*F202</f>
        <v>98.269018204288741</v>
      </c>
      <c r="K202" s="378"/>
    </row>
    <row r="203" spans="1:11" x14ac:dyDescent="0.25">
      <c r="A203" s="120"/>
      <c r="B203" s="107" t="s">
        <v>1813</v>
      </c>
      <c r="C203" s="1579">
        <f>PI()*2</f>
        <v>6.2831853071795862</v>
      </c>
      <c r="D203" s="154">
        <f>+D187</f>
        <v>9.85</v>
      </c>
      <c r="E203" s="154">
        <f>+E187</f>
        <v>1.5</v>
      </c>
      <c r="F203" s="1517">
        <v>1</v>
      </c>
      <c r="G203" s="154">
        <f t="shared" si="5"/>
        <v>92.834062913578379</v>
      </c>
      <c r="K203" s="378"/>
    </row>
    <row r="204" spans="1:11" x14ac:dyDescent="0.25">
      <c r="A204" s="120"/>
      <c r="B204" s="107" t="s">
        <v>1814</v>
      </c>
      <c r="C204" s="1567">
        <f>PI()</f>
        <v>3.1415926535897931</v>
      </c>
      <c r="D204">
        <f>+E38+E36*2</f>
        <v>11.299999999999999</v>
      </c>
      <c r="E204" s="154"/>
      <c r="F204" s="1517">
        <f>E37</f>
        <v>0.4</v>
      </c>
      <c r="G204" s="154">
        <f>C204*D204*F204</f>
        <v>14.199998794225863</v>
      </c>
      <c r="K204" s="378"/>
    </row>
    <row r="205" spans="1:11" x14ac:dyDescent="0.25">
      <c r="A205" s="120"/>
      <c r="B205" s="391"/>
      <c r="C205" s="1567"/>
      <c r="E205" s="154"/>
      <c r="F205" s="1517"/>
      <c r="G205" s="154">
        <f>SUM(G200:G204)</f>
        <v>769.03046567224544</v>
      </c>
      <c r="K205" s="378"/>
    </row>
    <row r="206" spans="1:11" x14ac:dyDescent="0.25">
      <c r="A206" s="120"/>
      <c r="B206" s="550" t="s">
        <v>298</v>
      </c>
      <c r="E206" s="154"/>
      <c r="F206" s="1517"/>
      <c r="K206" s="378"/>
    </row>
    <row r="207" spans="1:11" x14ac:dyDescent="0.25">
      <c r="A207" s="120"/>
      <c r="B207" s="550" t="s">
        <v>150</v>
      </c>
      <c r="C207">
        <v>2</v>
      </c>
      <c r="D207">
        <v>0.6</v>
      </c>
      <c r="E207" s="154">
        <v>0.6</v>
      </c>
      <c r="F207" s="1517">
        <v>1</v>
      </c>
      <c r="G207" s="154">
        <f t="shared" si="5"/>
        <v>0.72</v>
      </c>
      <c r="K207" s="378"/>
    </row>
    <row r="208" spans="1:11" x14ac:dyDescent="0.25">
      <c r="A208" s="120"/>
      <c r="B208" s="550" t="s">
        <v>1815</v>
      </c>
      <c r="C208" s="1579">
        <f>PI()/4</f>
        <v>0.78539816339744828</v>
      </c>
      <c r="D208">
        <v>0.6</v>
      </c>
      <c r="E208" s="154">
        <v>0.6</v>
      </c>
      <c r="F208" s="1517">
        <v>1</v>
      </c>
      <c r="G208" s="154">
        <f t="shared" si="5"/>
        <v>0.28274333882308139</v>
      </c>
      <c r="K208" s="378"/>
    </row>
    <row r="209" spans="1:24" x14ac:dyDescent="0.25">
      <c r="A209" s="120"/>
      <c r="B209" s="550" t="s">
        <v>299</v>
      </c>
      <c r="C209" t="s">
        <v>494</v>
      </c>
      <c r="D209">
        <v>0.9</v>
      </c>
      <c r="E209" s="154"/>
      <c r="F209" s="1517">
        <v>1.8</v>
      </c>
      <c r="G209" s="154">
        <f>2*D209*F209</f>
        <v>3.24</v>
      </c>
      <c r="K209" s="378"/>
    </row>
    <row r="210" spans="1:24" x14ac:dyDescent="0.25">
      <c r="A210" s="120"/>
      <c r="B210" s="105"/>
      <c r="E210" s="154"/>
      <c r="F210" s="1517"/>
      <c r="G210" s="154"/>
      <c r="K210" s="378"/>
    </row>
    <row r="211" spans="1:24" ht="15.75" thickBot="1" x14ac:dyDescent="0.3">
      <c r="A211" s="120"/>
      <c r="B211" s="105"/>
      <c r="E211" s="154"/>
      <c r="F211" s="1517"/>
      <c r="G211" s="1581">
        <f>G205-G207-G208-G209</f>
        <v>764.78772233342238</v>
      </c>
      <c r="H211" s="150">
        <f>Data!I315</f>
        <v>1202.7</v>
      </c>
      <c r="I211" s="154">
        <v>10</v>
      </c>
      <c r="J211" s="154" t="s">
        <v>1087</v>
      </c>
      <c r="K211" s="378">
        <f>ROUND(G211*H211/I211,0)</f>
        <v>91981</v>
      </c>
    </row>
    <row r="212" spans="1:24" x14ac:dyDescent="0.25">
      <c r="A212" s="120"/>
      <c r="B212" s="105"/>
      <c r="E212" s="154"/>
      <c r="F212" s="1517"/>
      <c r="K212" s="378"/>
    </row>
    <row r="213" spans="1:24" x14ac:dyDescent="0.25">
      <c r="A213" s="120">
        <v>16</v>
      </c>
      <c r="B213" s="550" t="s">
        <v>1816</v>
      </c>
      <c r="E213" s="154"/>
      <c r="F213" s="1517"/>
      <c r="K213" s="378"/>
    </row>
    <row r="214" spans="1:24" x14ac:dyDescent="0.25">
      <c r="A214" s="120"/>
      <c r="B214" s="550" t="s">
        <v>1817</v>
      </c>
      <c r="C214" t="s">
        <v>1818</v>
      </c>
      <c r="D214" s="120">
        <v>0</v>
      </c>
      <c r="E214" s="154">
        <f>+$L$16</f>
        <v>7.21</v>
      </c>
      <c r="F214" s="1582">
        <v>0.125</v>
      </c>
      <c r="G214">
        <f t="shared" ref="G214:G220" si="6">+E214*F214*D214</f>
        <v>0</v>
      </c>
      <c r="H214" s="154">
        <f>Data!I1261</f>
        <v>85072.888915999996</v>
      </c>
      <c r="I214">
        <v>1</v>
      </c>
      <c r="J214" t="s">
        <v>20</v>
      </c>
      <c r="K214" s="378">
        <f>ROUND(G214*H214/I214,0)*L214</f>
        <v>0</v>
      </c>
      <c r="L214" s="297">
        <f>+IF($K$229&gt;70000,0,1)</f>
        <v>0</v>
      </c>
    </row>
    <row r="215" spans="1:24" x14ac:dyDescent="0.25">
      <c r="A215" s="120"/>
      <c r="B215" s="550" t="s">
        <v>1819</v>
      </c>
      <c r="C215" t="s">
        <v>1820</v>
      </c>
      <c r="D215" s="120">
        <v>0</v>
      </c>
      <c r="E215" s="154">
        <f t="shared" ref="E215:E222" si="7">+$L$16</f>
        <v>7.21</v>
      </c>
      <c r="F215" s="1583">
        <f t="shared" ref="F215:F220" si="8">+F214</f>
        <v>0.125</v>
      </c>
      <c r="G215">
        <f t="shared" si="6"/>
        <v>0</v>
      </c>
      <c r="H215" s="154">
        <f>Data!I1262</f>
        <v>85493.133015999992</v>
      </c>
      <c r="I215">
        <v>1</v>
      </c>
      <c r="J215" t="s">
        <v>20</v>
      </c>
      <c r="K215" s="378">
        <f t="shared" ref="K215:K222" si="9">ROUND(G215*H215/I215,0)*L215</f>
        <v>0</v>
      </c>
      <c r="L215" s="297">
        <f t="shared" ref="L215:L222" si="10">+IF($K$229&gt;70000,0,1)</f>
        <v>0</v>
      </c>
    </row>
    <row r="216" spans="1:24" x14ac:dyDescent="0.25">
      <c r="A216" s="120"/>
      <c r="B216" s="550" t="s">
        <v>1821</v>
      </c>
      <c r="C216" s="111" t="s">
        <v>1822</v>
      </c>
      <c r="D216" s="120">
        <v>0</v>
      </c>
      <c r="E216" s="154">
        <f t="shared" si="7"/>
        <v>7.21</v>
      </c>
      <c r="F216" s="1583">
        <f t="shared" si="8"/>
        <v>0.125</v>
      </c>
      <c r="G216">
        <f t="shared" si="6"/>
        <v>0</v>
      </c>
      <c r="H216" s="154">
        <f>Data!I1263</f>
        <v>85913.377115999989</v>
      </c>
      <c r="I216">
        <v>1</v>
      </c>
      <c r="J216" t="s">
        <v>20</v>
      </c>
      <c r="K216" s="378">
        <f t="shared" si="9"/>
        <v>0</v>
      </c>
      <c r="L216" s="297">
        <f t="shared" si="10"/>
        <v>0</v>
      </c>
    </row>
    <row r="217" spans="1:24" x14ac:dyDescent="0.25">
      <c r="A217" s="120"/>
      <c r="B217" s="550" t="s">
        <v>1823</v>
      </c>
      <c r="C217" t="s">
        <v>1824</v>
      </c>
      <c r="D217" s="120">
        <v>0</v>
      </c>
      <c r="E217" s="154">
        <f t="shared" si="7"/>
        <v>7.21</v>
      </c>
      <c r="F217" s="1583">
        <f t="shared" si="8"/>
        <v>0.125</v>
      </c>
      <c r="G217">
        <f t="shared" si="6"/>
        <v>0</v>
      </c>
      <c r="H217" s="154">
        <f>Data!I1264</f>
        <v>86333.621215999985</v>
      </c>
      <c r="I217">
        <v>1</v>
      </c>
      <c r="J217" t="s">
        <v>20</v>
      </c>
      <c r="K217" s="378">
        <f t="shared" si="9"/>
        <v>0</v>
      </c>
      <c r="L217" s="297">
        <f t="shared" si="10"/>
        <v>0</v>
      </c>
    </row>
    <row r="218" spans="1:24" x14ac:dyDescent="0.25">
      <c r="A218" s="120"/>
      <c r="B218" s="550" t="s">
        <v>1825</v>
      </c>
      <c r="C218" t="s">
        <v>1826</v>
      </c>
      <c r="D218" s="120">
        <v>0</v>
      </c>
      <c r="E218" s="154">
        <f t="shared" si="7"/>
        <v>7.21</v>
      </c>
      <c r="F218" s="1583">
        <f t="shared" si="8"/>
        <v>0.125</v>
      </c>
      <c r="G218">
        <f t="shared" si="6"/>
        <v>0</v>
      </c>
      <c r="H218" s="154">
        <f>Data!I1265</f>
        <v>86753.865315999981</v>
      </c>
      <c r="I218">
        <v>1</v>
      </c>
      <c r="J218" t="s">
        <v>20</v>
      </c>
      <c r="K218" s="378">
        <f t="shared" si="9"/>
        <v>0</v>
      </c>
      <c r="L218" s="297">
        <f t="shared" si="10"/>
        <v>0</v>
      </c>
    </row>
    <row r="219" spans="1:24" x14ac:dyDescent="0.25">
      <c r="A219" s="120"/>
      <c r="B219" s="550" t="s">
        <v>1827</v>
      </c>
      <c r="C219" t="s">
        <v>1828</v>
      </c>
      <c r="D219" s="120">
        <v>0</v>
      </c>
      <c r="E219" s="154">
        <f t="shared" si="7"/>
        <v>7.21</v>
      </c>
      <c r="F219" s="1583">
        <f t="shared" si="8"/>
        <v>0.125</v>
      </c>
      <c r="G219">
        <f t="shared" si="6"/>
        <v>0</v>
      </c>
      <c r="H219" s="154">
        <f>Data!I1266</f>
        <v>87174.109415999978</v>
      </c>
      <c r="I219">
        <v>1</v>
      </c>
      <c r="J219" t="s">
        <v>20</v>
      </c>
      <c r="K219" s="378">
        <f t="shared" si="9"/>
        <v>0</v>
      </c>
      <c r="L219" s="297">
        <f t="shared" si="10"/>
        <v>0</v>
      </c>
    </row>
    <row r="220" spans="1:24" x14ac:dyDescent="0.25">
      <c r="A220" s="120"/>
      <c r="B220" s="550" t="s">
        <v>1829</v>
      </c>
      <c r="C220" t="s">
        <v>1830</v>
      </c>
      <c r="D220" s="120">
        <v>0</v>
      </c>
      <c r="E220" s="154">
        <f t="shared" si="7"/>
        <v>7.21</v>
      </c>
      <c r="F220" s="1583">
        <f t="shared" si="8"/>
        <v>0.125</v>
      </c>
      <c r="G220">
        <f t="shared" si="6"/>
        <v>0</v>
      </c>
      <c r="H220" s="154">
        <f>Data!I1267</f>
        <v>87594.353515999974</v>
      </c>
      <c r="I220">
        <v>1</v>
      </c>
      <c r="J220" t="s">
        <v>20</v>
      </c>
      <c r="K220" s="378">
        <f t="shared" si="9"/>
        <v>0</v>
      </c>
      <c r="L220" s="297">
        <f t="shared" si="10"/>
        <v>0</v>
      </c>
    </row>
    <row r="221" spans="1:24" x14ac:dyDescent="0.25">
      <c r="A221" s="120"/>
      <c r="B221" s="550" t="s">
        <v>1831</v>
      </c>
      <c r="C221" t="s">
        <v>1832</v>
      </c>
      <c r="D221" s="120">
        <v>0</v>
      </c>
      <c r="E221" s="154">
        <f t="shared" si="7"/>
        <v>7.21</v>
      </c>
      <c r="F221" s="1583">
        <f>+F220</f>
        <v>0.125</v>
      </c>
      <c r="G221">
        <f>+E221*F221*D221</f>
        <v>0</v>
      </c>
      <c r="H221" s="154">
        <f>Data!I1268</f>
        <v>88014.59761599997</v>
      </c>
      <c r="I221">
        <v>1</v>
      </c>
      <c r="J221" t="s">
        <v>20</v>
      </c>
      <c r="K221" s="378">
        <f t="shared" si="9"/>
        <v>0</v>
      </c>
      <c r="L221" s="297">
        <f t="shared" si="10"/>
        <v>0</v>
      </c>
    </row>
    <row r="222" spans="1:24" x14ac:dyDescent="0.25">
      <c r="A222" s="120"/>
      <c r="B222" s="550" t="s">
        <v>1833</v>
      </c>
      <c r="C222" t="s">
        <v>1834</v>
      </c>
      <c r="D222" s="120">
        <v>0</v>
      </c>
      <c r="E222" s="154">
        <f t="shared" si="7"/>
        <v>7.21</v>
      </c>
      <c r="F222" s="1583">
        <f>+F221</f>
        <v>0.125</v>
      </c>
      <c r="G222">
        <f>+E222*F222*D222</f>
        <v>0</v>
      </c>
      <c r="H222" s="154">
        <f>Data!I1269</f>
        <v>88434.841715999966</v>
      </c>
      <c r="I222">
        <v>1</v>
      </c>
      <c r="J222" t="s">
        <v>20</v>
      </c>
      <c r="K222" s="378">
        <f t="shared" si="9"/>
        <v>0</v>
      </c>
      <c r="L222" s="297">
        <f t="shared" si="10"/>
        <v>0</v>
      </c>
    </row>
    <row r="223" spans="1:24" x14ac:dyDescent="0.25">
      <c r="A223" s="120">
        <v>16</v>
      </c>
      <c r="B223" s="550" t="s">
        <v>1835</v>
      </c>
    </row>
    <row r="224" spans="1:24" x14ac:dyDescent="0.25">
      <c r="A224" s="120"/>
      <c r="B224" t="s">
        <v>1836</v>
      </c>
      <c r="G224" s="404">
        <v>38</v>
      </c>
      <c r="H224" s="403">
        <f>Data!H327</f>
        <v>60670.400000000001</v>
      </c>
      <c r="I224" s="154">
        <v>1</v>
      </c>
      <c r="J224" s="154" t="s">
        <v>486</v>
      </c>
      <c r="K224" s="378">
        <f>ROUND(G224*H224/I224,0)</f>
        <v>2305475</v>
      </c>
      <c r="N224" s="154">
        <f>G110+G116+G121+G129+G130+G131+G132+G133+G134+G135+G136+G137+G138+G139+G140+G141+G142+G143+G144+G145+G146+G147+G148+G149+G150+G151+G152+G153+G154+G155+G156++G161+G166+G171+G176+G181+G182+G190</f>
        <v>191.03764949542565</v>
      </c>
      <c r="O224">
        <f>N224*100/1000</f>
        <v>19.103764949542565</v>
      </c>
      <c r="V224" s="201" t="s">
        <v>135</v>
      </c>
      <c r="W224" s="1584" t="s">
        <v>140</v>
      </c>
      <c r="X224" s="201"/>
    </row>
    <row r="225" spans="1:24" x14ac:dyDescent="0.25">
      <c r="A225" s="120">
        <v>17</v>
      </c>
      <c r="B225" t="s">
        <v>222</v>
      </c>
      <c r="D225" s="1585">
        <f>'VC 450'!M22</f>
        <v>24878</v>
      </c>
      <c r="E225" s="1585">
        <f>'VC 80'!L23</f>
        <v>12221</v>
      </c>
      <c r="G225" s="756"/>
      <c r="H225" s="1586">
        <f>2*D225+1*E225</f>
        <v>61977</v>
      </c>
      <c r="I225" s="154">
        <v>1</v>
      </c>
      <c r="J225" s="154"/>
      <c r="K225" s="378">
        <f>H225</f>
        <v>61977</v>
      </c>
      <c r="N225" s="1587" t="s">
        <v>1837</v>
      </c>
      <c r="O225" s="288"/>
      <c r="P225" s="288"/>
      <c r="V225" s="201">
        <v>0.9</v>
      </c>
      <c r="W225" s="201">
        <f>+B5*IF($B$8="Yes",0.8,1)</f>
        <v>13464</v>
      </c>
      <c r="X225" s="201">
        <v>150</v>
      </c>
    </row>
    <row r="226" spans="1:24" x14ac:dyDescent="0.25">
      <c r="A226" s="120">
        <v>18</v>
      </c>
      <c r="B226" t="s">
        <v>1838</v>
      </c>
      <c r="D226" t="s">
        <v>2137</v>
      </c>
      <c r="G226" s="154"/>
      <c r="H226" s="689"/>
      <c r="I226" s="689"/>
      <c r="J226" s="689"/>
      <c r="K226" s="378">
        <f>(+G82+G83)*1.13615</f>
        <v>1593461.7364999999</v>
      </c>
    </row>
    <row r="227" spans="1:24" x14ac:dyDescent="0.25">
      <c r="A227" s="120">
        <v>19</v>
      </c>
      <c r="B227" t="s">
        <v>1839</v>
      </c>
      <c r="G227" s="154"/>
      <c r="H227" s="689"/>
      <c r="I227" s="689"/>
      <c r="J227" s="689"/>
      <c r="K227" s="378">
        <f>E80</f>
        <v>64440</v>
      </c>
    </row>
    <row r="228" spans="1:24" x14ac:dyDescent="0.25">
      <c r="A228" s="120">
        <v>20</v>
      </c>
      <c r="B228" t="s">
        <v>1840</v>
      </c>
      <c r="G228" s="154"/>
      <c r="H228" s="689" t="s">
        <v>581</v>
      </c>
      <c r="I228" s="689"/>
      <c r="J228" s="689"/>
      <c r="K228" s="378">
        <v>5000</v>
      </c>
      <c r="V228" s="201">
        <v>1.05</v>
      </c>
      <c r="W228" s="201">
        <f>+B6*IF($B$8="Yes",0.8,1)</f>
        <v>15601</v>
      </c>
      <c r="X228" s="201">
        <v>300</v>
      </c>
    </row>
    <row r="229" spans="1:24" x14ac:dyDescent="0.25">
      <c r="A229" s="120">
        <v>21</v>
      </c>
      <c r="B229" t="s">
        <v>1841</v>
      </c>
      <c r="G229" s="154"/>
      <c r="H229" s="689"/>
      <c r="I229" s="689"/>
      <c r="J229" s="689"/>
      <c r="K229" s="1588">
        <f>Staircase!J150</f>
        <v>237721</v>
      </c>
      <c r="V229" s="201">
        <v>1.2</v>
      </c>
      <c r="W229" s="201">
        <f>+B7*IF($B$8="Yes",0.8,1)</f>
        <v>17996</v>
      </c>
      <c r="X229" s="201"/>
    </row>
    <row r="230" spans="1:24" x14ac:dyDescent="0.25">
      <c r="A230" s="120">
        <v>22</v>
      </c>
      <c r="B230" t="s">
        <v>1842</v>
      </c>
      <c r="G230" s="154"/>
      <c r="H230" s="689" t="s">
        <v>581</v>
      </c>
      <c r="I230" s="689"/>
      <c r="J230" s="689"/>
      <c r="K230" s="378">
        <v>2500</v>
      </c>
    </row>
    <row r="231" spans="1:24" x14ac:dyDescent="0.25">
      <c r="A231" s="120">
        <v>23</v>
      </c>
      <c r="B231" t="s">
        <v>1843</v>
      </c>
      <c r="G231" s="154"/>
      <c r="H231" s="689" t="s">
        <v>581</v>
      </c>
      <c r="I231" s="689"/>
      <c r="J231" s="689"/>
      <c r="K231" s="378">
        <v>5000</v>
      </c>
    </row>
    <row r="232" spans="1:24" x14ac:dyDescent="0.25">
      <c r="A232" s="120">
        <v>24</v>
      </c>
      <c r="B232" s="550" t="s">
        <v>1844</v>
      </c>
      <c r="G232" s="154"/>
      <c r="H232" s="689" t="s">
        <v>581</v>
      </c>
      <c r="I232" s="689"/>
      <c r="J232" s="689"/>
      <c r="K232" s="378">
        <v>5000</v>
      </c>
    </row>
    <row r="233" spans="1:24" x14ac:dyDescent="0.25">
      <c r="A233" s="120">
        <v>25</v>
      </c>
      <c r="B233" s="550" t="s">
        <v>1845</v>
      </c>
      <c r="G233" s="154"/>
      <c r="H233" s="689" t="s">
        <v>581</v>
      </c>
      <c r="I233" s="689"/>
      <c r="J233" s="689"/>
      <c r="K233" s="378">
        <v>10000</v>
      </c>
    </row>
    <row r="234" spans="1:24" x14ac:dyDescent="0.25">
      <c r="A234" s="120">
        <v>26</v>
      </c>
      <c r="B234" s="550" t="s">
        <v>1846</v>
      </c>
      <c r="G234" s="154"/>
      <c r="H234" s="689" t="s">
        <v>581</v>
      </c>
      <c r="I234" s="689"/>
      <c r="J234" s="689"/>
      <c r="K234" s="378">
        <v>15000</v>
      </c>
    </row>
    <row r="235" spans="1:24" x14ac:dyDescent="0.25">
      <c r="A235" s="120">
        <v>27</v>
      </c>
      <c r="B235" s="550" t="s">
        <v>1847</v>
      </c>
      <c r="G235" s="154"/>
      <c r="H235" s="689" t="s">
        <v>581</v>
      </c>
      <c r="I235" s="689"/>
      <c r="J235" s="689"/>
      <c r="K235" s="378">
        <v>5000</v>
      </c>
    </row>
    <row r="236" spans="1:24" x14ac:dyDescent="0.25">
      <c r="A236" s="120">
        <v>28</v>
      </c>
      <c r="B236" s="105" t="s">
        <v>1848</v>
      </c>
      <c r="G236" s="154"/>
      <c r="H236" s="689" t="s">
        <v>581</v>
      </c>
      <c r="I236" s="689"/>
      <c r="J236" s="689"/>
      <c r="K236" s="378">
        <v>5000</v>
      </c>
    </row>
    <row r="237" spans="1:24" x14ac:dyDescent="0.25">
      <c r="A237" s="120">
        <v>29</v>
      </c>
      <c r="B237" s="105" t="s">
        <v>1849</v>
      </c>
      <c r="G237" s="154"/>
      <c r="H237" s="689" t="s">
        <v>581</v>
      </c>
      <c r="I237" s="689"/>
      <c r="J237" s="689"/>
      <c r="K237" s="378">
        <v>3364</v>
      </c>
    </row>
    <row r="238" spans="1:24" x14ac:dyDescent="0.25">
      <c r="A238" s="120">
        <v>30</v>
      </c>
      <c r="B238" t="s">
        <v>1850</v>
      </c>
      <c r="H238" s="689"/>
      <c r="K238" s="489">
        <f>+K239-SUM(K94:K237)</f>
        <v>11609.263499999419</v>
      </c>
    </row>
    <row r="239" spans="1:24" x14ac:dyDescent="0.25">
      <c r="H239" s="97"/>
      <c r="I239" s="2165" t="s">
        <v>23</v>
      </c>
      <c r="J239" s="2165"/>
      <c r="K239" s="1589">
        <f>((INT(SUM(K94:K237)*0.00004))*25000)+25000</f>
        <v>9775000</v>
      </c>
      <c r="L239" s="378"/>
      <c r="M239" s="378"/>
    </row>
    <row r="240" spans="1:24" x14ac:dyDescent="0.25">
      <c r="K240" s="378"/>
    </row>
    <row r="241" spans="2:10" x14ac:dyDescent="0.25">
      <c r="C241" s="105"/>
      <c r="E241" s="386"/>
      <c r="H241" t="s">
        <v>982</v>
      </c>
    </row>
    <row r="242" spans="2:10" s="367" customFormat="1" ht="12.75" x14ac:dyDescent="0.2">
      <c r="B242" s="1458"/>
      <c r="D242" s="369"/>
      <c r="G242" s="369"/>
      <c r="I242" s="370"/>
      <c r="J242" s="371"/>
    </row>
    <row r="243" spans="2:10" s="367" customFormat="1" ht="12.75" x14ac:dyDescent="0.2">
      <c r="B243" s="1458"/>
      <c r="D243" s="369"/>
      <c r="G243" s="369"/>
      <c r="I243" s="369"/>
      <c r="J243" s="371"/>
    </row>
    <row r="244" spans="2:10" s="367" customFormat="1" ht="12.75" x14ac:dyDescent="0.2">
      <c r="B244" s="368"/>
      <c r="C244" s="369"/>
      <c r="D244" s="369"/>
      <c r="E244" s="372"/>
      <c r="F244" s="372"/>
      <c r="G244" s="372"/>
      <c r="H244" s="372"/>
      <c r="I244" s="373"/>
      <c r="J244" s="371"/>
    </row>
    <row r="245" spans="2:10" s="367" customFormat="1" ht="12.75" x14ac:dyDescent="0.2">
      <c r="B245" s="368"/>
      <c r="C245" s="369"/>
      <c r="D245" s="369"/>
      <c r="E245" s="369"/>
      <c r="F245" s="369"/>
      <c r="G245" s="369"/>
      <c r="H245" s="369"/>
      <c r="I245" s="369"/>
      <c r="J245" s="371"/>
    </row>
    <row r="246" spans="2:10" s="367" customFormat="1" ht="12.75" x14ac:dyDescent="0.2">
      <c r="B246" s="374"/>
      <c r="C246" s="369"/>
      <c r="D246" s="369"/>
      <c r="E246" s="372"/>
      <c r="F246" s="372"/>
      <c r="G246" s="368"/>
      <c r="H246" s="372"/>
      <c r="I246" s="369"/>
      <c r="J246" s="371"/>
    </row>
    <row r="247" spans="2:10" s="367" customFormat="1" ht="12.75" x14ac:dyDescent="0.2">
      <c r="B247" s="368"/>
      <c r="C247" s="369"/>
      <c r="D247" s="369"/>
      <c r="E247" s="372"/>
      <c r="F247" s="372"/>
      <c r="G247" s="368"/>
      <c r="H247" s="372"/>
      <c r="I247" s="369"/>
      <c r="J247" s="371"/>
    </row>
  </sheetData>
  <mergeCells count="3">
    <mergeCell ref="A86:I86"/>
    <mergeCell ref="I92:J92"/>
    <mergeCell ref="I239:J239"/>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9"/>
  <sheetViews>
    <sheetView topLeftCell="A53" workbookViewId="0">
      <selection activeCell="E158" sqref="E158"/>
    </sheetView>
  </sheetViews>
  <sheetFormatPr defaultRowHeight="15" x14ac:dyDescent="0.25"/>
  <cols>
    <col min="9" max="9" width="12.85546875" customWidth="1"/>
  </cols>
  <sheetData>
    <row r="1" spans="1:12" x14ac:dyDescent="0.25">
      <c r="A1" s="1497" t="s">
        <v>769</v>
      </c>
      <c r="B1" s="1498"/>
      <c r="C1" s="778" t="s">
        <v>1892</v>
      </c>
      <c r="D1" s="800"/>
      <c r="E1" s="196">
        <v>6</v>
      </c>
      <c r="F1" s="195"/>
      <c r="G1" s="91"/>
      <c r="H1" s="91"/>
    </row>
    <row r="2" spans="1:12" x14ac:dyDescent="0.25">
      <c r="A2" s="206" t="s">
        <v>190</v>
      </c>
      <c r="B2" s="1501">
        <v>25.25</v>
      </c>
      <c r="C2" s="778" t="s">
        <v>1893</v>
      </c>
      <c r="D2" s="800"/>
      <c r="E2" s="196">
        <v>6</v>
      </c>
      <c r="F2" s="195"/>
      <c r="G2" s="91"/>
      <c r="H2" s="91"/>
    </row>
    <row r="3" spans="1:12" x14ac:dyDescent="0.25">
      <c r="A3" s="1502"/>
      <c r="B3" s="1634"/>
      <c r="C3" s="778" t="s">
        <v>1894</v>
      </c>
      <c r="D3" s="800"/>
      <c r="E3" s="196">
        <v>3.53</v>
      </c>
      <c r="F3" s="195"/>
      <c r="G3" s="91"/>
      <c r="H3" s="91"/>
    </row>
    <row r="4" spans="1:12" x14ac:dyDescent="0.25">
      <c r="C4" s="778" t="s">
        <v>1895</v>
      </c>
      <c r="D4" s="800"/>
      <c r="E4" s="196">
        <v>0.45</v>
      </c>
      <c r="F4" s="196">
        <v>0.45</v>
      </c>
      <c r="G4" s="91"/>
      <c r="H4" s="91"/>
      <c r="J4" t="s">
        <v>1740</v>
      </c>
      <c r="L4" s="154">
        <f>+B2-E12-E13-0.15</f>
        <v>24.425000000000001</v>
      </c>
    </row>
    <row r="5" spans="1:12" x14ac:dyDescent="0.25">
      <c r="A5" s="203" t="s">
        <v>1741</v>
      </c>
      <c r="B5" s="1635">
        <f>'VC 80'!L23</f>
        <v>12221</v>
      </c>
      <c r="C5" s="778" t="s">
        <v>1896</v>
      </c>
      <c r="D5" s="800"/>
      <c r="E5" s="196">
        <v>0.55000000000000004</v>
      </c>
      <c r="F5" s="196">
        <v>0.4</v>
      </c>
      <c r="G5" s="91"/>
      <c r="H5" s="91"/>
    </row>
    <row r="6" spans="1:12" x14ac:dyDescent="0.25">
      <c r="A6" s="1507" t="s">
        <v>1742</v>
      </c>
      <c r="B6" s="1635">
        <f>'VC 200'!L23</f>
        <v>16533</v>
      </c>
      <c r="C6" s="778" t="s">
        <v>1897</v>
      </c>
      <c r="D6" s="800"/>
      <c r="E6" s="196">
        <v>2.5</v>
      </c>
      <c r="F6" s="195"/>
      <c r="G6" s="91"/>
      <c r="H6" s="91"/>
    </row>
    <row r="7" spans="1:12" x14ac:dyDescent="0.25">
      <c r="A7" s="1507" t="s">
        <v>774</v>
      </c>
      <c r="B7" s="1635">
        <f>'VC 450'!M22</f>
        <v>24878</v>
      </c>
      <c r="C7" s="778" t="s">
        <v>1898</v>
      </c>
      <c r="D7" s="800"/>
      <c r="E7" s="196">
        <v>0.5</v>
      </c>
      <c r="F7" s="195">
        <v>0.55000000000000004</v>
      </c>
      <c r="G7" s="91">
        <v>6.9</v>
      </c>
      <c r="H7" s="91"/>
    </row>
    <row r="8" spans="1:12" x14ac:dyDescent="0.25">
      <c r="A8" s="1507" t="s">
        <v>1899</v>
      </c>
      <c r="B8" s="1636" t="s">
        <v>668</v>
      </c>
      <c r="C8" s="778" t="s">
        <v>1751</v>
      </c>
      <c r="D8" s="800"/>
      <c r="E8" s="196">
        <v>0.4</v>
      </c>
      <c r="F8" s="195"/>
      <c r="G8" s="91"/>
      <c r="H8" s="91"/>
    </row>
    <row r="9" spans="1:12" x14ac:dyDescent="0.25">
      <c r="A9" s="206" t="s">
        <v>191</v>
      </c>
      <c r="B9" s="1637">
        <f>Design!G25+500</f>
        <v>2178</v>
      </c>
      <c r="C9" s="778" t="s">
        <v>1900</v>
      </c>
      <c r="D9" s="800"/>
      <c r="E9" s="196">
        <v>9.15</v>
      </c>
      <c r="F9" s="196">
        <v>0</v>
      </c>
      <c r="G9" s="91"/>
      <c r="H9" s="91"/>
    </row>
    <row r="10" spans="1:12" x14ac:dyDescent="0.25">
      <c r="A10" s="154"/>
      <c r="C10" s="778" t="s">
        <v>1901</v>
      </c>
      <c r="D10" s="800"/>
      <c r="E10" s="196">
        <v>2.6</v>
      </c>
      <c r="F10" s="195"/>
      <c r="G10" s="91"/>
      <c r="H10" s="91"/>
    </row>
    <row r="11" spans="1:12" x14ac:dyDescent="0.25">
      <c r="A11" s="1638" t="s">
        <v>271</v>
      </c>
      <c r="B11" s="1510" t="str">
        <f>+IF(B14=90000,"Dome","Flat")</f>
        <v>Dome</v>
      </c>
      <c r="C11" s="778" t="s">
        <v>1902</v>
      </c>
      <c r="D11" s="800"/>
      <c r="E11" s="196">
        <v>2.6</v>
      </c>
      <c r="F11" s="195"/>
      <c r="G11" s="731" t="s">
        <v>587</v>
      </c>
      <c r="H11" s="731" t="s">
        <v>1903</v>
      </c>
    </row>
    <row r="12" spans="1:12" x14ac:dyDescent="0.25">
      <c r="A12" s="1511" t="s">
        <v>121</v>
      </c>
      <c r="B12" s="1512" t="str">
        <f>+B11</f>
        <v>Dome</v>
      </c>
      <c r="C12" s="778" t="s">
        <v>1904</v>
      </c>
      <c r="D12" s="800"/>
      <c r="E12" s="1639">
        <v>0.125</v>
      </c>
      <c r="F12" s="1640">
        <v>7</v>
      </c>
      <c r="G12" s="1517">
        <v>6.125</v>
      </c>
      <c r="H12" s="1641">
        <v>0.98899999999999999</v>
      </c>
    </row>
    <row r="13" spans="1:12" x14ac:dyDescent="0.25">
      <c r="A13" s="1513" t="s">
        <v>185</v>
      </c>
      <c r="B13" s="1514">
        <f>+IF(B14=90000,3.15,2)</f>
        <v>3.15</v>
      </c>
      <c r="C13" s="778" t="s">
        <v>1905</v>
      </c>
      <c r="D13" s="800"/>
      <c r="E13" s="196">
        <v>0.55000000000000004</v>
      </c>
      <c r="F13" s="196">
        <v>0.4</v>
      </c>
      <c r="G13" s="91"/>
      <c r="H13" s="91"/>
    </row>
    <row r="14" spans="1:12" x14ac:dyDescent="0.25">
      <c r="A14" s="1515" t="s">
        <v>1906</v>
      </c>
      <c r="B14" s="1516">
        <v>90000</v>
      </c>
      <c r="C14" s="778" t="s">
        <v>1907</v>
      </c>
      <c r="D14" s="800"/>
      <c r="E14" s="196">
        <v>3</v>
      </c>
      <c r="F14" s="196">
        <v>0.1</v>
      </c>
      <c r="G14" s="196">
        <v>7</v>
      </c>
      <c r="H14" s="91"/>
    </row>
    <row r="15" spans="1:12" x14ac:dyDescent="0.25">
      <c r="A15" s="1504" t="s">
        <v>197</v>
      </c>
      <c r="B15" s="1505">
        <f>+IF(B2&gt;16,B9,2*B9)</f>
        <v>2178</v>
      </c>
      <c r="C15" s="778" t="s">
        <v>1908</v>
      </c>
      <c r="D15" s="800"/>
      <c r="E15" s="1642">
        <v>7.4999999999999997E-2</v>
      </c>
      <c r="F15" s="196">
        <v>7</v>
      </c>
      <c r="G15" s="1643">
        <v>6.0750000000000002</v>
      </c>
      <c r="H15" s="204">
        <v>1.1299999999999999</v>
      </c>
    </row>
    <row r="16" spans="1:12" x14ac:dyDescent="0.25">
      <c r="A16" s="1504" t="s">
        <v>566</v>
      </c>
      <c r="B16" s="1505">
        <v>0</v>
      </c>
      <c r="C16" s="778" t="s">
        <v>1909</v>
      </c>
      <c r="D16" s="800"/>
      <c r="E16" s="196">
        <v>0.2</v>
      </c>
      <c r="F16" s="196">
        <v>0.15</v>
      </c>
      <c r="G16" s="196"/>
      <c r="H16" s="91"/>
    </row>
    <row r="17" spans="1:21" x14ac:dyDescent="0.25">
      <c r="C17" s="132"/>
      <c r="D17" s="132"/>
      <c r="E17" s="132"/>
      <c r="F17" s="132"/>
      <c r="G17" s="132"/>
      <c r="H17" s="132"/>
      <c r="I17" s="132"/>
    </row>
    <row r="18" spans="1:21" x14ac:dyDescent="0.25">
      <c r="C18" s="1528" t="s">
        <v>1773</v>
      </c>
      <c r="D18" s="1529"/>
      <c r="E18" s="1530">
        <f>+B14</f>
        <v>90000</v>
      </c>
      <c r="F18" s="1530" t="str">
        <f>+IF(B2&gt;16,"OHBR","OHSR")</f>
        <v>OHBR</v>
      </c>
      <c r="G18" s="1531" t="s">
        <v>190</v>
      </c>
      <c r="H18" s="1532">
        <f>+B2</f>
        <v>25.25</v>
      </c>
    </row>
    <row r="19" spans="1:21" x14ac:dyDescent="0.25">
      <c r="C19" s="97" t="str">
        <f>A56</f>
        <v>CPWS SCHEME TO                                                                                                       DISTRICT</v>
      </c>
    </row>
    <row r="21" spans="1:21" x14ac:dyDescent="0.25">
      <c r="D21" s="112"/>
    </row>
    <row r="22" spans="1:21" x14ac:dyDescent="0.25">
      <c r="C22" s="112" t="s">
        <v>783</v>
      </c>
      <c r="D22" s="771">
        <f>+D24+B13-G22-G24</f>
        <v>28.1</v>
      </c>
      <c r="F22" s="113" t="s">
        <v>565</v>
      </c>
      <c r="G22" s="391">
        <v>0.15</v>
      </c>
    </row>
    <row r="23" spans="1:21" x14ac:dyDescent="0.25">
      <c r="C23" s="112"/>
      <c r="D23" s="123"/>
      <c r="F23" s="113"/>
      <c r="G23" s="391"/>
    </row>
    <row r="24" spans="1:21" x14ac:dyDescent="0.25">
      <c r="C24" s="112" t="s">
        <v>784</v>
      </c>
      <c r="D24" s="771">
        <f>+H18</f>
        <v>25.25</v>
      </c>
      <c r="F24" s="113" t="s">
        <v>785</v>
      </c>
      <c r="G24" s="391">
        <v>0.15</v>
      </c>
    </row>
    <row r="25" spans="1:21" x14ac:dyDescent="0.25">
      <c r="D25" s="123"/>
    </row>
    <row r="26" spans="1:21" x14ac:dyDescent="0.25">
      <c r="D26" s="123"/>
    </row>
    <row r="27" spans="1:21" x14ac:dyDescent="0.25">
      <c r="D27" s="123"/>
    </row>
    <row r="28" spans="1:21" x14ac:dyDescent="0.25">
      <c r="D28" s="123"/>
    </row>
    <row r="29" spans="1:21" x14ac:dyDescent="0.25">
      <c r="D29" s="123"/>
    </row>
    <row r="30" spans="1:21" x14ac:dyDescent="0.25">
      <c r="C30" s="112" t="s">
        <v>566</v>
      </c>
      <c r="D30" s="771">
        <f>+B16</f>
        <v>0</v>
      </c>
      <c r="M30" s="90"/>
      <c r="N30" s="90"/>
      <c r="O30" s="90"/>
      <c r="P30" s="90"/>
      <c r="Q30" s="90"/>
      <c r="R30" s="90"/>
      <c r="S30" s="90"/>
      <c r="T30" s="90"/>
      <c r="U30" s="90"/>
    </row>
    <row r="31" spans="1:21" x14ac:dyDescent="0.25">
      <c r="A31" s="176"/>
      <c r="B31" s="1445"/>
      <c r="K31" s="689"/>
      <c r="L31" s="689"/>
      <c r="M31" s="90"/>
      <c r="N31" s="257"/>
      <c r="O31" s="257"/>
      <c r="P31" s="257"/>
      <c r="Q31" s="258"/>
      <c r="R31" s="257"/>
      <c r="S31" s="257"/>
      <c r="T31" s="257"/>
      <c r="U31" s="90"/>
    </row>
    <row r="32" spans="1:21" x14ac:dyDescent="0.25">
      <c r="A32" s="176"/>
      <c r="B32" s="1539"/>
      <c r="M32" s="90"/>
      <c r="N32" s="83"/>
      <c r="O32" s="83"/>
      <c r="P32" s="83"/>
      <c r="Q32" s="83"/>
      <c r="R32" s="83"/>
      <c r="S32" s="83"/>
      <c r="T32" s="83"/>
      <c r="U32" s="90"/>
    </row>
    <row r="33" spans="1:21" x14ac:dyDescent="0.25">
      <c r="A33" s="175"/>
      <c r="B33" s="1445"/>
      <c r="M33" s="90"/>
      <c r="N33" s="83"/>
      <c r="O33" s="83"/>
      <c r="P33" s="83"/>
      <c r="Q33" s="83"/>
      <c r="R33" s="83"/>
      <c r="S33" s="83"/>
      <c r="T33" s="83"/>
      <c r="U33" s="90"/>
    </row>
    <row r="34" spans="1:21" x14ac:dyDescent="0.25">
      <c r="A34" s="176"/>
      <c r="B34" s="1445"/>
      <c r="M34" s="90"/>
      <c r="N34" s="83"/>
      <c r="O34" s="83"/>
      <c r="P34" s="83"/>
      <c r="Q34" s="83"/>
      <c r="R34" s="83"/>
      <c r="S34" s="83"/>
      <c r="T34" s="83"/>
      <c r="U34" s="90"/>
    </row>
    <row r="35" spans="1:21" x14ac:dyDescent="0.25">
      <c r="A35" s="90"/>
      <c r="M35" s="90"/>
      <c r="N35" s="83"/>
      <c r="O35" s="83"/>
      <c r="P35" s="83"/>
      <c r="Q35" s="83"/>
      <c r="R35" s="83"/>
      <c r="S35" s="83"/>
      <c r="T35" s="83"/>
      <c r="U35" s="90"/>
    </row>
    <row r="36" spans="1:21" x14ac:dyDescent="0.25">
      <c r="A36" s="90"/>
      <c r="M36" s="90"/>
      <c r="N36" s="83"/>
      <c r="O36" s="83"/>
      <c r="P36" s="83"/>
      <c r="Q36" s="83"/>
      <c r="R36" s="83"/>
      <c r="S36" s="83"/>
      <c r="T36" s="83"/>
      <c r="U36" s="90"/>
    </row>
    <row r="37" spans="1:21" x14ac:dyDescent="0.25">
      <c r="A37" s="90"/>
      <c r="C37" s="775" t="s">
        <v>786</v>
      </c>
      <c r="D37" s="775" t="s">
        <v>787</v>
      </c>
      <c r="E37" s="775" t="s">
        <v>788</v>
      </c>
      <c r="F37" s="775" t="s">
        <v>789</v>
      </c>
      <c r="M37" s="90"/>
      <c r="N37" s="83"/>
      <c r="O37" s="83"/>
      <c r="P37" s="83"/>
      <c r="Q37" s="83"/>
      <c r="R37" s="83"/>
      <c r="S37" s="83"/>
      <c r="T37" s="83"/>
      <c r="U37" s="90"/>
    </row>
    <row r="38" spans="1:21" x14ac:dyDescent="0.25">
      <c r="A38" s="90"/>
      <c r="B38" s="775"/>
      <c r="C38" s="756"/>
      <c r="D38" s="756"/>
      <c r="E38" s="120"/>
      <c r="F38" s="756"/>
      <c r="M38" s="90"/>
      <c r="N38" s="83"/>
      <c r="O38" s="83"/>
      <c r="P38" s="83"/>
      <c r="Q38" s="83"/>
      <c r="R38" s="83"/>
      <c r="S38" s="83"/>
      <c r="T38" s="83"/>
      <c r="U38" s="90"/>
    </row>
    <row r="39" spans="1:21" x14ac:dyDescent="0.25">
      <c r="B39" s="776" t="s">
        <v>790</v>
      </c>
      <c r="C39" s="777">
        <f>+LOOKUP(B9,RAM!$B$67:$B$90,RAM!$C$67:$C$90)</f>
        <v>300</v>
      </c>
      <c r="D39" s="777">
        <f>+LOOKUP(B15,RAM!$B$67:$B$90,RAM!$C$67:$C$90)</f>
        <v>300</v>
      </c>
      <c r="E39" s="777">
        <v>80</v>
      </c>
      <c r="F39" s="731">
        <f>+C39</f>
        <v>300</v>
      </c>
      <c r="M39" s="90"/>
      <c r="N39" s="83"/>
      <c r="O39" s="83"/>
      <c r="P39" s="83"/>
      <c r="Q39" s="83"/>
      <c r="R39" s="83"/>
      <c r="S39" s="83"/>
      <c r="T39" s="83"/>
      <c r="U39" s="90"/>
    </row>
    <row r="40" spans="1:21" x14ac:dyDescent="0.25">
      <c r="B40" s="1545" t="s">
        <v>1774</v>
      </c>
      <c r="C40" s="1546">
        <f>+INT((D22-D30)/2)</f>
        <v>14</v>
      </c>
      <c r="D40" s="1546">
        <f>+INT((D24-D30)/2)</f>
        <v>12</v>
      </c>
      <c r="E40" s="1546">
        <f>+INT((D24-G24-D30)/2)</f>
        <v>12</v>
      </c>
      <c r="F40" s="1547">
        <f>+INT((D22-D30)/2)</f>
        <v>14</v>
      </c>
      <c r="G40" s="378"/>
      <c r="M40" s="90"/>
      <c r="N40" s="83"/>
      <c r="O40" s="83"/>
      <c r="P40" s="83"/>
      <c r="Q40" s="83"/>
      <c r="R40" s="83"/>
      <c r="S40" s="83"/>
      <c r="T40" s="83"/>
      <c r="U40" s="90"/>
    </row>
    <row r="41" spans="1:21" x14ac:dyDescent="0.25">
      <c r="B41" s="1548" t="s">
        <v>1775</v>
      </c>
      <c r="C41" s="779">
        <f>+INT((D22-D30)-C40*2)</f>
        <v>0</v>
      </c>
      <c r="D41" s="779">
        <f>+INT((D24-D30)-D40*2)</f>
        <v>1</v>
      </c>
      <c r="E41" s="1546">
        <f>+INT((D24-G24-D30)-E40*2)</f>
        <v>1</v>
      </c>
      <c r="F41" s="204">
        <f>+INT((D22-D30)-F40*2)</f>
        <v>0</v>
      </c>
      <c r="G41" s="378"/>
      <c r="M41" s="90"/>
      <c r="N41" s="83"/>
      <c r="O41" s="83"/>
      <c r="P41" s="83"/>
      <c r="Q41" s="83"/>
      <c r="R41" s="83"/>
      <c r="S41" s="83"/>
      <c r="T41" s="83"/>
      <c r="U41" s="90"/>
    </row>
    <row r="42" spans="1:21" x14ac:dyDescent="0.25">
      <c r="B42" s="1545" t="s">
        <v>1776</v>
      </c>
      <c r="C42" s="1546">
        <f>+((D22-D30)-(C40*2+C41*1)+1)</f>
        <v>1.1000000000000014</v>
      </c>
      <c r="D42" s="1546">
        <f>+((D24-D30)-(D40*2+D41*1)+1)</f>
        <v>1.25</v>
      </c>
      <c r="E42" s="1546">
        <f>+((D24-G24-D30)-E40*2-E41*1+1)</f>
        <v>1.1000000000000014</v>
      </c>
      <c r="F42" s="1547">
        <f>+(D22-D30)-F40*2-F41*1+1</f>
        <v>1.1000000000000014</v>
      </c>
      <c r="G42" s="378"/>
      <c r="M42" s="90"/>
      <c r="N42" s="83"/>
      <c r="O42" s="83"/>
      <c r="P42" s="83"/>
      <c r="Q42" s="83"/>
      <c r="R42" s="83"/>
      <c r="S42" s="83"/>
      <c r="T42" s="83"/>
      <c r="U42" s="90"/>
    </row>
    <row r="43" spans="1:21" x14ac:dyDescent="0.25">
      <c r="B43" s="1545" t="s">
        <v>172</v>
      </c>
      <c r="C43" s="779">
        <v>1</v>
      </c>
      <c r="D43" s="779">
        <v>1</v>
      </c>
      <c r="E43" s="779">
        <v>1</v>
      </c>
      <c r="F43" s="204">
        <v>1</v>
      </c>
      <c r="G43" s="378"/>
      <c r="M43" s="90"/>
      <c r="N43" s="83"/>
      <c r="O43" s="83"/>
      <c r="P43" s="83"/>
      <c r="Q43" s="83"/>
      <c r="R43" s="83"/>
      <c r="S43" s="83"/>
      <c r="T43" s="83"/>
      <c r="U43" s="90"/>
    </row>
    <row r="44" spans="1:21" x14ac:dyDescent="0.25">
      <c r="B44" s="1545" t="s">
        <v>1777</v>
      </c>
      <c r="C44" s="779">
        <v>1</v>
      </c>
      <c r="D44" s="779">
        <v>1</v>
      </c>
      <c r="E44" s="779">
        <v>1</v>
      </c>
      <c r="F44" s="204">
        <v>1</v>
      </c>
      <c r="G44" s="378"/>
      <c r="M44" s="90"/>
      <c r="N44" s="90"/>
      <c r="O44" s="90"/>
      <c r="P44" s="90"/>
      <c r="Q44" s="90"/>
      <c r="R44" s="90"/>
      <c r="S44" s="90"/>
      <c r="T44" s="90"/>
      <c r="U44" s="90"/>
    </row>
    <row r="45" spans="1:21" x14ac:dyDescent="0.25">
      <c r="B45" s="778" t="s">
        <v>791</v>
      </c>
      <c r="C45" s="779">
        <v>1</v>
      </c>
      <c r="D45" s="779">
        <v>1</v>
      </c>
      <c r="E45" s="779">
        <v>1</v>
      </c>
      <c r="F45" s="204">
        <v>0</v>
      </c>
      <c r="G45" s="378"/>
      <c r="M45" s="90"/>
      <c r="N45" s="90"/>
      <c r="O45" s="90"/>
      <c r="P45" s="90"/>
      <c r="Q45" s="90"/>
      <c r="R45" s="90"/>
      <c r="S45" s="90"/>
      <c r="T45" s="90"/>
      <c r="U45" s="90"/>
    </row>
    <row r="46" spans="1:21" x14ac:dyDescent="0.25">
      <c r="M46" s="90"/>
      <c r="N46" s="90"/>
      <c r="O46" s="90"/>
      <c r="P46" s="90"/>
      <c r="Q46" s="90"/>
      <c r="R46" s="90"/>
      <c r="S46" s="90"/>
      <c r="T46" s="90"/>
      <c r="U46" s="90"/>
    </row>
    <row r="47" spans="1:21" x14ac:dyDescent="0.25">
      <c r="C47" s="1549">
        <v>52</v>
      </c>
      <c r="D47" s="1550">
        <v>639.26</v>
      </c>
      <c r="E47" s="288">
        <f>C47*D47</f>
        <v>33241.519999999997</v>
      </c>
      <c r="M47" s="90"/>
      <c r="N47" s="90"/>
      <c r="O47" s="90"/>
      <c r="P47" s="90"/>
      <c r="Q47" s="90"/>
      <c r="R47" s="90"/>
      <c r="S47" s="90"/>
      <c r="T47" s="90"/>
      <c r="U47" s="90"/>
    </row>
    <row r="48" spans="1:21" x14ac:dyDescent="0.25">
      <c r="C48" s="1549">
        <v>17</v>
      </c>
      <c r="D48" s="1550">
        <f>[1]DFjoints!$C$28</f>
        <v>139.21</v>
      </c>
      <c r="E48" s="288">
        <f>C48*D48</f>
        <v>2366.5700000000002</v>
      </c>
    </row>
    <row r="49" spans="1:17" x14ac:dyDescent="0.25">
      <c r="C49" s="288"/>
      <c r="D49" s="288"/>
      <c r="E49" s="288">
        <f>ROUND((E47+E48)*1.14,0)</f>
        <v>40593</v>
      </c>
    </row>
    <row r="50" spans="1:17" x14ac:dyDescent="0.25">
      <c r="B50" s="141"/>
      <c r="C50" s="141"/>
      <c r="D50" s="141"/>
      <c r="E50" s="141"/>
      <c r="F50" s="141"/>
      <c r="G50" s="1551" t="s">
        <v>23</v>
      </c>
    </row>
    <row r="51" spans="1:17" x14ac:dyDescent="0.25">
      <c r="B51" s="1552" t="s">
        <v>1778</v>
      </c>
      <c r="C51" s="1553">
        <f>+((LOOKUP(C39,RAM!$E$67:$E$78,RAM!$H$67:$H$78))*C40+(LOOKUP(C39,RAM!$E$67:$E$78,RAM!$G$67:$G$78))*C41+(LOOKUP(C39,RAM!$E$67:$E$78,RAM!$F$67:$F$78))*C42+(LOOKUP(C39,RAM!$E$67:$E$78,RAM!$I$67:$I$78))*C43+(LOOKUP(C39,RAM!$E$67:$E$78,RAM!$J$67:$J$78)))*C44</f>
        <v>271863.5282</v>
      </c>
      <c r="D51" s="1553">
        <f>+((LOOKUP(D39,RAM!$E$67:$E$78,RAM!$H$67:$H$78))*D40+(LOOKUP(D39,RAM!$E$67:$E$78,RAM!$G$67:$G$78))*D41+(LOOKUP(D39,RAM!$E$67:$E$78,RAM!$F$67:$F$78))*D42+(LOOKUP(D39,RAM!$E$67:$E$78,RAM!$I$67:$I$78))*D43+(LOOKUP(D39,RAM!$E$67:$E$78,RAM!$J$67:$J$78)))*D44</f>
        <v>246472.33049999998</v>
      </c>
      <c r="E51" s="1553">
        <f>+((LOOKUP(E39,RAM!$E$67:$E$78,RAM!$H$67:$H$78))*E40+(LOOKUP(E39,RAM!$E$67:$E$78,RAM!$G$67:$G$78))*E41+(LOOKUP(E39,RAM!$E$67:$E$78,RAM!$F$67:$F$78))*E42+(LOOKUP(E39,RAM!$E$67:$E$78,RAM!$I$67:$I$78))*E43+(LOOKUP(E39,RAM!$E$67:$E$78,RAM!$J$67:$J$78)))*E44</f>
        <v>47052.143600000003</v>
      </c>
      <c r="F51" s="1553">
        <f>+((LOOKUP(F39,RAM!$E$67:$E$78,RAM!$H$67:$H$78))*F40+(LOOKUP(F39,RAM!$E$67:$E$78,RAM!$G$67:$G$78))*F41+(LOOKUP(F39,RAM!$E$67:$E$78,RAM!$F$67:$F$78))*F42+(LOOKUP(F39,RAM!$E$67:$E$78,RAM!$I$67:$I$78))*F43+(LOOKUP(F39,RAM!$E$67:$E$78,RAM!$J$67:$J$78)))*F44</f>
        <v>271863.5282</v>
      </c>
      <c r="G51" s="782">
        <f>+ROUND((F51+E51+D51+C51),0)</f>
        <v>837252</v>
      </c>
    </row>
    <row r="52" spans="1:17" x14ac:dyDescent="0.25">
      <c r="B52" s="1554" t="s">
        <v>1779</v>
      </c>
      <c r="C52" s="1553">
        <f>+(LOOKUP(C39,RAM!$E$67:$E$78,RAM!$K$67:$K$78))*C45</f>
        <v>67740</v>
      </c>
      <c r="D52" s="1553">
        <f>+(LOOKUP(D39,RAM!$E$67:$E$78,RAM!$K$67:$K$78))*D45</f>
        <v>67740</v>
      </c>
      <c r="E52" s="1553">
        <f>+(LOOKUP(E39,RAM!$E$67:$E$78,RAM!$K$67:$K$78))*E45</f>
        <v>11025</v>
      </c>
      <c r="F52" s="1553">
        <f>+(LOOKUP(F39,RAM!$E$67:$E$78,RAM!$K$67:$K$78))*F45</f>
        <v>0</v>
      </c>
      <c r="G52" s="782">
        <f>+ROUND((F52+E52+D52+C52),0)</f>
        <v>146505</v>
      </c>
    </row>
    <row r="56" spans="1:17" x14ac:dyDescent="0.25">
      <c r="A56" s="2008" t="str">
        <f>Design!$B$1</f>
        <v>CPWS SCHEME TO                                                                                                       DISTRICT</v>
      </c>
      <c r="B56" s="2008"/>
      <c r="C56" s="2008"/>
      <c r="D56" s="2008"/>
      <c r="E56" s="2008"/>
      <c r="F56" s="2008"/>
      <c r="G56" s="2008"/>
      <c r="H56" s="2008"/>
      <c r="I56" s="2008"/>
    </row>
    <row r="57" spans="1:17" x14ac:dyDescent="0.25">
      <c r="A57" s="131" t="s">
        <v>1910</v>
      </c>
      <c r="B57" s="131"/>
      <c r="C57" s="131"/>
      <c r="D57" s="131"/>
      <c r="E57" s="131"/>
      <c r="F57" s="131"/>
      <c r="G57" s="131"/>
      <c r="H57" s="131"/>
      <c r="I57" s="131"/>
    </row>
    <row r="58" spans="1:17" x14ac:dyDescent="0.25">
      <c r="A58" s="679" t="s">
        <v>1780</v>
      </c>
      <c r="B58" s="124"/>
      <c r="C58" s="124"/>
      <c r="D58" s="680">
        <v>90000</v>
      </c>
      <c r="E58" s="114" t="s">
        <v>1781</v>
      </c>
      <c r="F58" s="680" t="str">
        <f>+IF(B2&gt;16,"OHBR","OHSR")</f>
        <v>OHBR</v>
      </c>
      <c r="G58" s="97" t="s">
        <v>1782</v>
      </c>
      <c r="H58" s="1555">
        <f>+H18</f>
        <v>25.25</v>
      </c>
      <c r="I58" s="124" t="s">
        <v>599</v>
      </c>
    </row>
    <row r="59" spans="1:17" x14ac:dyDescent="0.25">
      <c r="A59" s="1644" t="s">
        <v>1911</v>
      </c>
      <c r="B59" s="90"/>
      <c r="C59" s="90"/>
      <c r="D59" s="90"/>
      <c r="E59" s="90"/>
      <c r="F59" s="90"/>
      <c r="G59" s="176" t="s">
        <v>136</v>
      </c>
      <c r="H59" s="396">
        <f>+I163/100000</f>
        <v>56.5</v>
      </c>
      <c r="I59" s="97" t="s">
        <v>283</v>
      </c>
    </row>
    <row r="60" spans="1:17" x14ac:dyDescent="0.25">
      <c r="A60" s="95" t="s">
        <v>400</v>
      </c>
      <c r="B60" s="128" t="s">
        <v>138</v>
      </c>
      <c r="C60" s="1645"/>
      <c r="D60" s="1645"/>
      <c r="E60" s="95"/>
      <c r="F60" s="95"/>
      <c r="G60" s="95" t="s">
        <v>139</v>
      </c>
      <c r="H60" s="684" t="s">
        <v>140</v>
      </c>
      <c r="I60" s="684" t="s">
        <v>141</v>
      </c>
    </row>
    <row r="61" spans="1:17" ht="36" customHeight="1" x14ac:dyDescent="0.25">
      <c r="A61" s="146">
        <v>1</v>
      </c>
      <c r="B61" s="2094" t="s">
        <v>142</v>
      </c>
      <c r="C61" s="2093"/>
      <c r="D61" s="2093"/>
      <c r="E61" s="2093"/>
      <c r="F61" s="90"/>
      <c r="G61" s="90"/>
      <c r="H61" s="90"/>
      <c r="I61" s="90"/>
    </row>
    <row r="62" spans="1:17" x14ac:dyDescent="0.25">
      <c r="A62" s="90"/>
      <c r="B62" s="147"/>
      <c r="C62" s="711" t="s">
        <v>143</v>
      </c>
      <c r="D62" s="156">
        <f>+E9+F9+2*0.6</f>
        <v>10.35</v>
      </c>
      <c r="E62" s="155">
        <f>+D62</f>
        <v>10.35</v>
      </c>
      <c r="F62" s="149">
        <f>RAM!D129</f>
        <v>3</v>
      </c>
      <c r="G62" s="149">
        <f>+(0.785714285714286)*D62*E62*F62</f>
        <v>252.50303571428577</v>
      </c>
      <c r="H62" s="150">
        <f>Data!$I$12</f>
        <v>158.80000000000001</v>
      </c>
      <c r="I62" s="489">
        <f>+ROUND(H62*G62,0)</f>
        <v>40097</v>
      </c>
    </row>
    <row r="63" spans="1:17" x14ac:dyDescent="0.25">
      <c r="A63" s="90"/>
      <c r="B63" s="147"/>
      <c r="C63" s="711" t="s">
        <v>143</v>
      </c>
      <c r="D63" s="156">
        <f>+E10+F10+2*0.6</f>
        <v>3.8</v>
      </c>
      <c r="E63" s="155">
        <f>+D63</f>
        <v>3.8</v>
      </c>
      <c r="F63" s="149">
        <f>RAM!D130</f>
        <v>0.64999999999999947</v>
      </c>
      <c r="G63" s="149">
        <f>+(0.785714285714286)*D63*E63*F63</f>
        <v>7.3747142857142816</v>
      </c>
      <c r="H63" s="150">
        <f>Data!$I$18</f>
        <v>204.2</v>
      </c>
      <c r="I63" s="489">
        <f>+ROUND(H63*G63,0)</f>
        <v>1506</v>
      </c>
    </row>
    <row r="64" spans="1:17" ht="40.5" customHeight="1" x14ac:dyDescent="0.25">
      <c r="A64" s="146">
        <v>2</v>
      </c>
      <c r="B64" s="2094" t="s">
        <v>144</v>
      </c>
      <c r="C64" s="2093"/>
      <c r="D64" s="2093"/>
      <c r="E64" s="2093"/>
      <c r="F64" s="90"/>
      <c r="G64" s="149"/>
      <c r="H64" s="149"/>
      <c r="I64" s="489"/>
      <c r="N64" s="437"/>
      <c r="O64" s="438"/>
      <c r="P64" s="438"/>
      <c r="Q64" s="438"/>
    </row>
    <row r="65" spans="1:9" x14ac:dyDescent="0.25">
      <c r="A65" s="375"/>
      <c r="B65" s="710"/>
      <c r="C65" s="711" t="s">
        <v>143</v>
      </c>
      <c r="D65" s="156">
        <f>+D62</f>
        <v>10.35</v>
      </c>
      <c r="E65" s="155">
        <f>+E62</f>
        <v>10.35</v>
      </c>
      <c r="F65" s="155">
        <v>0.3</v>
      </c>
      <c r="G65" s="155">
        <f>+(3.14285714285714)*D65*E65*F65*0.25</f>
        <v>25.250303571428542</v>
      </c>
      <c r="H65" s="150">
        <f>Data!$I$44</f>
        <v>4470.5</v>
      </c>
      <c r="I65" s="489">
        <f>+ROUND(H65*G65,0)</f>
        <v>112881</v>
      </c>
    </row>
    <row r="66" spans="1:9" x14ac:dyDescent="0.25">
      <c r="A66" s="90"/>
      <c r="B66" s="90"/>
      <c r="C66" s="90"/>
      <c r="D66" s="90"/>
      <c r="E66" s="90"/>
      <c r="F66" s="90"/>
      <c r="G66" s="149"/>
      <c r="H66" s="149"/>
      <c r="I66" s="489"/>
    </row>
    <row r="67" spans="1:9" ht="51" customHeight="1" x14ac:dyDescent="0.25">
      <c r="A67" s="146">
        <v>3</v>
      </c>
      <c r="B67" s="2094" t="s">
        <v>145</v>
      </c>
      <c r="C67" s="2093"/>
      <c r="D67" s="2093"/>
      <c r="E67" s="2093"/>
      <c r="F67" s="90"/>
      <c r="G67" s="149"/>
      <c r="H67" s="149"/>
      <c r="I67" s="489"/>
    </row>
    <row r="68" spans="1:9" x14ac:dyDescent="0.25">
      <c r="A68" s="375"/>
      <c r="B68" s="147"/>
      <c r="C68" s="711" t="s">
        <v>143</v>
      </c>
      <c r="D68" s="156">
        <f>+D65</f>
        <v>10.35</v>
      </c>
      <c r="E68" s="155">
        <f>+E65</f>
        <v>10.35</v>
      </c>
      <c r="F68" s="155">
        <v>0.3</v>
      </c>
      <c r="G68" s="155">
        <f>+(3.14285714285714)*D68*E68*F68*0.25</f>
        <v>25.250303571428542</v>
      </c>
      <c r="H68" s="150">
        <f>Data!I30</f>
        <v>937.7</v>
      </c>
      <c r="I68" s="489">
        <f>+ROUND(H68*G68,0)</f>
        <v>23677</v>
      </c>
    </row>
    <row r="69" spans="1:9" ht="54" customHeight="1" x14ac:dyDescent="0.25">
      <c r="A69" s="146">
        <v>4</v>
      </c>
      <c r="B69" s="2094" t="s">
        <v>1912</v>
      </c>
      <c r="C69" s="2093"/>
      <c r="D69" s="2093"/>
      <c r="E69" s="2093"/>
      <c r="F69" s="90"/>
      <c r="G69" s="149"/>
      <c r="H69" s="149"/>
      <c r="I69" s="489"/>
    </row>
    <row r="70" spans="1:9" x14ac:dyDescent="0.25">
      <c r="A70" s="375"/>
      <c r="B70" s="147"/>
      <c r="C70" s="148" t="s">
        <v>143</v>
      </c>
      <c r="D70" s="90">
        <f>+E41</f>
        <v>1</v>
      </c>
      <c r="E70" s="90">
        <f>+D70</f>
        <v>1</v>
      </c>
      <c r="F70" s="90"/>
      <c r="G70" s="149"/>
      <c r="H70" s="149"/>
      <c r="I70" s="489"/>
    </row>
    <row r="71" spans="1:9" x14ac:dyDescent="0.25">
      <c r="A71" s="90"/>
      <c r="B71" s="90"/>
      <c r="C71" s="148" t="s">
        <v>143</v>
      </c>
      <c r="D71" s="156">
        <f>+E9</f>
        <v>9.15</v>
      </c>
      <c r="E71" s="155">
        <f>+D71</f>
        <v>9.15</v>
      </c>
      <c r="F71" s="149">
        <f>+E8</f>
        <v>0.4</v>
      </c>
      <c r="G71" s="155">
        <f>+(3.14285714285714)*D71*E71*F71*0.25</f>
        <v>26.312785714285695</v>
      </c>
      <c r="H71" s="150">
        <f>Data!I423</f>
        <v>9199.4</v>
      </c>
      <c r="I71" s="489">
        <f>+ROUND(H71*G71,0)</f>
        <v>242062</v>
      </c>
    </row>
    <row r="72" spans="1:9" ht="56.25" customHeight="1" x14ac:dyDescent="0.25">
      <c r="A72" s="146">
        <v>5</v>
      </c>
      <c r="B72" s="2094" t="s">
        <v>1913</v>
      </c>
      <c r="C72" s="2093"/>
      <c r="D72" s="2093"/>
      <c r="E72" s="2093"/>
      <c r="F72" s="150"/>
      <c r="G72" s="149"/>
      <c r="H72" s="149"/>
      <c r="I72" s="489"/>
    </row>
    <row r="73" spans="1:9" x14ac:dyDescent="0.25">
      <c r="A73" s="510"/>
      <c r="B73" s="147"/>
      <c r="C73" s="153" t="s">
        <v>147</v>
      </c>
      <c r="D73" s="156">
        <f>+G7</f>
        <v>6.9</v>
      </c>
      <c r="E73" s="155">
        <f>+E7</f>
        <v>0.5</v>
      </c>
      <c r="F73" s="155">
        <f>+F7-E8</f>
        <v>0.15000000000000002</v>
      </c>
      <c r="G73" s="155">
        <f>+(3.14285714285714)*D73*E73*F73</f>
        <v>1.6264285714285704</v>
      </c>
      <c r="H73" s="150">
        <f>Data!I1006</f>
        <v>15613.3</v>
      </c>
      <c r="I73" s="489">
        <f>+ROUND(H73*G73,0)</f>
        <v>25394</v>
      </c>
    </row>
    <row r="74" spans="1:9" ht="53.25" customHeight="1" x14ac:dyDescent="0.25">
      <c r="A74" s="146">
        <v>6</v>
      </c>
      <c r="B74" s="2094" t="s">
        <v>1914</v>
      </c>
      <c r="C74" s="2093"/>
      <c r="D74" s="2093"/>
      <c r="E74" s="2093"/>
      <c r="F74" s="90"/>
      <c r="G74" s="149"/>
      <c r="H74" s="149"/>
      <c r="I74" s="157"/>
    </row>
    <row r="75" spans="1:9" x14ac:dyDescent="0.25">
      <c r="A75" s="90"/>
      <c r="B75" s="155" t="s">
        <v>419</v>
      </c>
      <c r="C75" s="155">
        <f>+E1</f>
        <v>6</v>
      </c>
      <c r="D75" s="155">
        <f>+E4</f>
        <v>0.45</v>
      </c>
      <c r="E75" s="155">
        <f>+F4</f>
        <v>0.45</v>
      </c>
      <c r="F75" s="1619">
        <f>+E6-(F7-E8)-E5</f>
        <v>1.8</v>
      </c>
      <c r="G75" s="155">
        <f>+ROUND(C75*D75*E75*F75,2)</f>
        <v>2.19</v>
      </c>
      <c r="H75" s="155"/>
      <c r="I75" s="157"/>
    </row>
    <row r="76" spans="1:9" x14ac:dyDescent="0.25">
      <c r="A76" s="90"/>
      <c r="B76" s="156" t="s">
        <v>420</v>
      </c>
      <c r="C76" s="155">
        <f>+C75</f>
        <v>6</v>
      </c>
      <c r="D76" s="155">
        <f>+D75</f>
        <v>0.45</v>
      </c>
      <c r="E76" s="155">
        <f>+E75</f>
        <v>0.45</v>
      </c>
      <c r="F76" s="149">
        <f>3-E5</f>
        <v>2.4500000000000002</v>
      </c>
      <c r="G76" s="155">
        <f>+ROUND(C76*D76*E76*F76,2)</f>
        <v>2.98</v>
      </c>
      <c r="H76" s="155"/>
      <c r="I76" s="157"/>
    </row>
    <row r="77" spans="1:9" x14ac:dyDescent="0.25">
      <c r="A77" s="90"/>
      <c r="B77" s="401"/>
      <c r="C77" s="155"/>
      <c r="D77" s="155"/>
      <c r="E77" s="155"/>
      <c r="F77" s="155"/>
      <c r="G77" s="155">
        <f>SUM(G75:G76)</f>
        <v>5.17</v>
      </c>
      <c r="H77" s="149">
        <f>Data!I1016</f>
        <v>23528.19685</v>
      </c>
      <c r="I77" s="489">
        <f>+ROUND(H77*G77,0)</f>
        <v>121641</v>
      </c>
    </row>
    <row r="78" spans="1:9" x14ac:dyDescent="0.25">
      <c r="A78" s="147"/>
      <c r="B78" s="129" t="s">
        <v>422</v>
      </c>
      <c r="C78" s="155">
        <f>+C75</f>
        <v>6</v>
      </c>
      <c r="D78" s="155">
        <f>+D75</f>
        <v>0.45</v>
      </c>
      <c r="E78" s="155">
        <f>+E75</f>
        <v>0.45</v>
      </c>
      <c r="F78" s="155">
        <v>1</v>
      </c>
      <c r="G78" s="155">
        <f t="shared" ref="G78:G84" si="0">+ROUND(C78*D78*E78*F78,2)</f>
        <v>1.22</v>
      </c>
      <c r="H78" s="149">
        <f>Data!I1017</f>
        <v>23681.353155000001</v>
      </c>
      <c r="I78" s="489">
        <f>+ROUND(H78*G78,0)</f>
        <v>28891</v>
      </c>
    </row>
    <row r="79" spans="1:9" x14ac:dyDescent="0.25">
      <c r="A79" s="90"/>
      <c r="B79" s="129" t="s">
        <v>423</v>
      </c>
      <c r="C79" s="155">
        <f>+C75</f>
        <v>6</v>
      </c>
      <c r="D79" s="155">
        <f t="shared" ref="D79:D98" si="1">+$D$75</f>
        <v>0.45</v>
      </c>
      <c r="E79" s="155">
        <f t="shared" ref="E79:E98" si="2">+$E$75</f>
        <v>0.45</v>
      </c>
      <c r="F79" s="155">
        <v>1</v>
      </c>
      <c r="G79" s="155">
        <f t="shared" si="0"/>
        <v>1.22</v>
      </c>
      <c r="H79" s="149">
        <f>Data!I1018</f>
        <v>23834.509460000001</v>
      </c>
      <c r="I79" s="489">
        <f t="shared" ref="I79:I84" si="3">+ROUND(H79*G79,0)</f>
        <v>29078</v>
      </c>
    </row>
    <row r="80" spans="1:9" x14ac:dyDescent="0.25">
      <c r="A80" s="90"/>
      <c r="B80" s="129" t="s">
        <v>424</v>
      </c>
      <c r="C80" s="155">
        <f>+IF($L$4&gt;5,C75,0)</f>
        <v>6</v>
      </c>
      <c r="D80" s="155">
        <f t="shared" si="1"/>
        <v>0.45</v>
      </c>
      <c r="E80" s="155">
        <f t="shared" si="2"/>
        <v>0.45</v>
      </c>
      <c r="F80" s="155">
        <v>0.45</v>
      </c>
      <c r="G80" s="155">
        <f t="shared" si="0"/>
        <v>0.55000000000000004</v>
      </c>
      <c r="H80" s="149">
        <f>Data!I1019</f>
        <v>23987.665765000002</v>
      </c>
      <c r="I80" s="489">
        <f t="shared" si="3"/>
        <v>13193</v>
      </c>
    </row>
    <row r="81" spans="1:9" x14ac:dyDescent="0.25">
      <c r="A81" s="90"/>
      <c r="B81" s="129" t="s">
        <v>425</v>
      </c>
      <c r="C81" s="155">
        <f>+IF($L$4&gt;5,C75,0)</f>
        <v>6</v>
      </c>
      <c r="D81" s="155">
        <f t="shared" si="1"/>
        <v>0.45</v>
      </c>
      <c r="E81" s="155">
        <f t="shared" si="2"/>
        <v>0.45</v>
      </c>
      <c r="F81" s="155">
        <v>1</v>
      </c>
      <c r="G81" s="155">
        <f t="shared" si="0"/>
        <v>1.22</v>
      </c>
      <c r="H81" s="149">
        <f>Data!I1020</f>
        <v>24140.822070000002</v>
      </c>
      <c r="I81" s="489">
        <f t="shared" si="3"/>
        <v>29452</v>
      </c>
    </row>
    <row r="82" spans="1:9" x14ac:dyDescent="0.25">
      <c r="A82" s="90"/>
      <c r="B82" s="129" t="s">
        <v>426</v>
      </c>
      <c r="C82" s="155">
        <f>+IF($L$4&gt;5,C75,0)</f>
        <v>6</v>
      </c>
      <c r="D82" s="155">
        <f t="shared" si="1"/>
        <v>0.45</v>
      </c>
      <c r="E82" s="155">
        <f t="shared" si="2"/>
        <v>0.45</v>
      </c>
      <c r="F82" s="155">
        <v>1</v>
      </c>
      <c r="G82" s="155">
        <f t="shared" si="0"/>
        <v>1.22</v>
      </c>
      <c r="H82" s="149">
        <f>Data!I1021</f>
        <v>24293.978375000002</v>
      </c>
      <c r="I82" s="489">
        <f t="shared" si="3"/>
        <v>29639</v>
      </c>
    </row>
    <row r="83" spans="1:9" x14ac:dyDescent="0.25">
      <c r="A83" s="90"/>
      <c r="B83" s="129" t="s">
        <v>427</v>
      </c>
      <c r="C83" s="155">
        <f>+IF($L$4&gt;8,C75,0)</f>
        <v>6</v>
      </c>
      <c r="D83" s="155">
        <f t="shared" si="1"/>
        <v>0.45</v>
      </c>
      <c r="E83" s="155">
        <f t="shared" si="2"/>
        <v>0.45</v>
      </c>
      <c r="F83" s="155">
        <v>0.45</v>
      </c>
      <c r="G83" s="155">
        <f t="shared" si="0"/>
        <v>0.55000000000000004</v>
      </c>
      <c r="H83" s="149">
        <f>Data!I1022</f>
        <v>24447.134680000003</v>
      </c>
      <c r="I83" s="489">
        <f t="shared" si="3"/>
        <v>13446</v>
      </c>
    </row>
    <row r="84" spans="1:9" x14ac:dyDescent="0.25">
      <c r="A84" s="90"/>
      <c r="B84" s="129" t="s">
        <v>428</v>
      </c>
      <c r="C84" s="155">
        <f>+C81</f>
        <v>6</v>
      </c>
      <c r="D84" s="155">
        <f t="shared" si="1"/>
        <v>0.45</v>
      </c>
      <c r="E84" s="155">
        <f t="shared" si="2"/>
        <v>0.45</v>
      </c>
      <c r="F84" s="155">
        <v>1</v>
      </c>
      <c r="G84" s="155">
        <f t="shared" si="0"/>
        <v>1.22</v>
      </c>
      <c r="H84" s="149">
        <f>Data!I1023</f>
        <v>24600.290985000003</v>
      </c>
      <c r="I84" s="489">
        <f t="shared" si="3"/>
        <v>30012</v>
      </c>
    </row>
    <row r="85" spans="1:9" x14ac:dyDescent="0.25">
      <c r="A85" s="90"/>
      <c r="B85" s="129" t="s">
        <v>429</v>
      </c>
      <c r="C85" s="155">
        <f>+C82</f>
        <v>6</v>
      </c>
      <c r="D85" s="155">
        <f t="shared" si="1"/>
        <v>0.45</v>
      </c>
      <c r="E85" s="155">
        <f t="shared" si="2"/>
        <v>0.45</v>
      </c>
      <c r="F85" s="155">
        <v>1</v>
      </c>
      <c r="G85" s="155">
        <f>+ROUND(C85*D85*E85*F85,2)</f>
        <v>1.22</v>
      </c>
      <c r="H85" s="149">
        <f>Data!I1024</f>
        <v>24753.447290000004</v>
      </c>
      <c r="I85" s="489">
        <f>+ROUND(H85*G85,0)</f>
        <v>30199</v>
      </c>
    </row>
    <row r="86" spans="1:9" x14ac:dyDescent="0.25">
      <c r="A86" s="90"/>
      <c r="B86" s="129" t="s">
        <v>430</v>
      </c>
      <c r="C86" s="155">
        <f>+IF($L$4&gt;11,C75,0)</f>
        <v>6</v>
      </c>
      <c r="D86" s="155">
        <f t="shared" si="1"/>
        <v>0.45</v>
      </c>
      <c r="E86" s="155">
        <f t="shared" si="2"/>
        <v>0.45</v>
      </c>
      <c r="F86" s="155">
        <v>0.45</v>
      </c>
      <c r="G86" s="155">
        <f t="shared" ref="G86:G94" si="4">+ROUND(C86*D86*E86*F86,2)</f>
        <v>0.55000000000000004</v>
      </c>
      <c r="H86" s="149">
        <f>Data!I1025</f>
        <v>24906.603595000004</v>
      </c>
      <c r="I86" s="489">
        <f>+ROUND(H86*G86,0)</f>
        <v>13699</v>
      </c>
    </row>
    <row r="87" spans="1:9" x14ac:dyDescent="0.25">
      <c r="A87" s="147"/>
      <c r="B87" s="129" t="s">
        <v>431</v>
      </c>
      <c r="C87" s="155">
        <f>+C84</f>
        <v>6</v>
      </c>
      <c r="D87" s="155">
        <f>+D84</f>
        <v>0.45</v>
      </c>
      <c r="E87" s="155">
        <f>+E84</f>
        <v>0.45</v>
      </c>
      <c r="F87" s="155">
        <v>1</v>
      </c>
      <c r="G87" s="155">
        <f t="shared" si="4"/>
        <v>1.22</v>
      </c>
      <c r="H87" s="149">
        <f>Data!I1026</f>
        <v>25059.759900000005</v>
      </c>
      <c r="I87" s="489">
        <f>+ROUND(H87*G87,0)</f>
        <v>30573</v>
      </c>
    </row>
    <row r="88" spans="1:9" x14ac:dyDescent="0.25">
      <c r="A88" s="90"/>
      <c r="B88" s="129" t="s">
        <v>432</v>
      </c>
      <c r="C88" s="155">
        <f>+C85</f>
        <v>6</v>
      </c>
      <c r="D88" s="155">
        <f t="shared" si="1"/>
        <v>0.45</v>
      </c>
      <c r="E88" s="155">
        <f t="shared" si="2"/>
        <v>0.45</v>
      </c>
      <c r="F88" s="155">
        <v>1</v>
      </c>
      <c r="G88" s="155">
        <f t="shared" si="4"/>
        <v>1.22</v>
      </c>
      <c r="H88" s="149">
        <f>Data!I1027</f>
        <v>25212.916205000005</v>
      </c>
      <c r="I88" s="489">
        <f t="shared" ref="I88:I95" si="5">+ROUND(H88*G88,0)</f>
        <v>30760</v>
      </c>
    </row>
    <row r="89" spans="1:9" x14ac:dyDescent="0.25">
      <c r="A89" s="90"/>
      <c r="B89" s="129" t="s">
        <v>433</v>
      </c>
      <c r="C89" s="155">
        <f>+C86</f>
        <v>6</v>
      </c>
      <c r="D89" s="155">
        <f t="shared" si="1"/>
        <v>0.45</v>
      </c>
      <c r="E89" s="155">
        <f t="shared" si="2"/>
        <v>0.45</v>
      </c>
      <c r="F89" s="155">
        <v>0.45</v>
      </c>
      <c r="G89" s="155">
        <f t="shared" si="4"/>
        <v>0.55000000000000004</v>
      </c>
      <c r="H89" s="149">
        <f>Data!I1028</f>
        <v>25366.072510000005</v>
      </c>
      <c r="I89" s="489">
        <f t="shared" si="5"/>
        <v>13951</v>
      </c>
    </row>
    <row r="90" spans="1:9" x14ac:dyDescent="0.25">
      <c r="A90" s="90"/>
      <c r="B90" s="129" t="s">
        <v>434</v>
      </c>
      <c r="C90" s="155">
        <f>+IF($L$4&gt;15,C75,0)</f>
        <v>6</v>
      </c>
      <c r="D90" s="155">
        <f t="shared" si="1"/>
        <v>0.45</v>
      </c>
      <c r="E90" s="155">
        <f t="shared" si="2"/>
        <v>0.45</v>
      </c>
      <c r="F90" s="155">
        <v>1</v>
      </c>
      <c r="G90" s="155">
        <f t="shared" si="4"/>
        <v>1.22</v>
      </c>
      <c r="H90" s="149">
        <f>Data!I1029</f>
        <v>25519.228815000006</v>
      </c>
      <c r="I90" s="489">
        <f t="shared" si="5"/>
        <v>31133</v>
      </c>
    </row>
    <row r="91" spans="1:9" x14ac:dyDescent="0.25">
      <c r="A91" s="90"/>
      <c r="B91" s="129" t="s">
        <v>435</v>
      </c>
      <c r="C91" s="155">
        <f>+IF($L$4&gt;16,C75,0)</f>
        <v>6</v>
      </c>
      <c r="D91" s="155">
        <f t="shared" si="1"/>
        <v>0.45</v>
      </c>
      <c r="E91" s="155">
        <f t="shared" si="2"/>
        <v>0.45</v>
      </c>
      <c r="F91" s="155">
        <v>1</v>
      </c>
      <c r="G91" s="155">
        <f t="shared" si="4"/>
        <v>1.22</v>
      </c>
      <c r="H91" s="149">
        <f>Data!I1030</f>
        <v>25672.385120000006</v>
      </c>
      <c r="I91" s="489">
        <f t="shared" si="5"/>
        <v>31320</v>
      </c>
    </row>
    <row r="92" spans="1:9" x14ac:dyDescent="0.25">
      <c r="A92" s="90"/>
      <c r="B92" s="129" t="s">
        <v>436</v>
      </c>
      <c r="C92" s="155">
        <f>+IF($L$4&gt;17,C75,0)</f>
        <v>6</v>
      </c>
      <c r="D92" s="155">
        <f t="shared" si="1"/>
        <v>0.45</v>
      </c>
      <c r="E92" s="155">
        <f t="shared" si="2"/>
        <v>0.45</v>
      </c>
      <c r="F92" s="155">
        <v>0.45</v>
      </c>
      <c r="G92" s="155">
        <f t="shared" si="4"/>
        <v>0.55000000000000004</v>
      </c>
      <c r="H92" s="149">
        <f>Data!I1031</f>
        <v>25825.541425000007</v>
      </c>
      <c r="I92" s="489">
        <f t="shared" si="5"/>
        <v>14204</v>
      </c>
    </row>
    <row r="93" spans="1:9" x14ac:dyDescent="0.25">
      <c r="A93" s="90"/>
      <c r="B93" s="129" t="s">
        <v>437</v>
      </c>
      <c r="C93" s="155">
        <f>+IF($L$4&gt;18,C75,0)</f>
        <v>6</v>
      </c>
      <c r="D93" s="155">
        <f t="shared" si="1"/>
        <v>0.45</v>
      </c>
      <c r="E93" s="155">
        <f t="shared" si="2"/>
        <v>0.45</v>
      </c>
      <c r="F93" s="155">
        <v>1</v>
      </c>
      <c r="G93" s="155">
        <f t="shared" si="4"/>
        <v>1.22</v>
      </c>
      <c r="H93" s="149">
        <f>Data!I1032</f>
        <v>25978.697730000007</v>
      </c>
      <c r="I93" s="489">
        <f t="shared" si="5"/>
        <v>31694</v>
      </c>
    </row>
    <row r="94" spans="1:9" x14ac:dyDescent="0.25">
      <c r="A94" s="90"/>
      <c r="B94" s="129" t="s">
        <v>438</v>
      </c>
      <c r="C94" s="155">
        <f>+IF($L$4&gt;19,C75,0)</f>
        <v>6</v>
      </c>
      <c r="D94" s="155">
        <f t="shared" si="1"/>
        <v>0.45</v>
      </c>
      <c r="E94" s="155">
        <f t="shared" si="2"/>
        <v>0.45</v>
      </c>
      <c r="F94" s="155">
        <v>1</v>
      </c>
      <c r="G94" s="155">
        <f t="shared" si="4"/>
        <v>1.22</v>
      </c>
      <c r="H94" s="149">
        <f>Data!I1033</f>
        <v>26131.854035000008</v>
      </c>
      <c r="I94" s="489">
        <f t="shared" si="5"/>
        <v>31881</v>
      </c>
    </row>
    <row r="95" spans="1:9" x14ac:dyDescent="0.25">
      <c r="A95" s="90"/>
      <c r="B95" s="129" t="s">
        <v>439</v>
      </c>
      <c r="C95" s="155">
        <f>+IF($L$4&gt;20,C75,0)</f>
        <v>6</v>
      </c>
      <c r="D95" s="155">
        <f t="shared" si="1"/>
        <v>0.45</v>
      </c>
      <c r="E95" s="155">
        <f t="shared" si="2"/>
        <v>0.45</v>
      </c>
      <c r="F95" s="155">
        <v>0.45</v>
      </c>
      <c r="G95" s="155">
        <f>+ROUND(C95*D95*E95*F95,2)</f>
        <v>0.55000000000000004</v>
      </c>
      <c r="H95" s="149">
        <f>Data!I1034</f>
        <v>26285.010340000008</v>
      </c>
      <c r="I95" s="489">
        <f t="shared" si="5"/>
        <v>14457</v>
      </c>
    </row>
    <row r="96" spans="1:9" x14ac:dyDescent="0.25">
      <c r="A96" s="147"/>
      <c r="B96" s="129" t="s">
        <v>440</v>
      </c>
      <c r="C96" s="155">
        <f>+IF($L$4&gt;21,C75,0)</f>
        <v>6</v>
      </c>
      <c r="D96" s="155">
        <f>+D93</f>
        <v>0.45</v>
      </c>
      <c r="E96" s="155">
        <f>+E93</f>
        <v>0.45</v>
      </c>
      <c r="F96" s="155">
        <v>1</v>
      </c>
      <c r="G96" s="155">
        <f>+ROUND(C96*D96*E96*F96,2)</f>
        <v>1.22</v>
      </c>
      <c r="H96" s="149">
        <f>Data!I1035</f>
        <v>26438.166645000008</v>
      </c>
      <c r="I96" s="489">
        <f>+ROUND(H96*G96,0)</f>
        <v>32255</v>
      </c>
    </row>
    <row r="97" spans="1:12" x14ac:dyDescent="0.25">
      <c r="A97" s="90"/>
      <c r="B97" s="129" t="s">
        <v>441</v>
      </c>
      <c r="C97" s="155">
        <f>+IF($L$4&gt;22,C75,0)</f>
        <v>6</v>
      </c>
      <c r="D97" s="155">
        <f t="shared" si="1"/>
        <v>0.45</v>
      </c>
      <c r="E97" s="155">
        <f t="shared" si="2"/>
        <v>0.45</v>
      </c>
      <c r="F97" s="155">
        <v>1</v>
      </c>
      <c r="G97" s="155">
        <f>+ROUND(C97*D97*E97*F97,2)</f>
        <v>1.22</v>
      </c>
      <c r="H97" s="149">
        <f>Data!I1036</f>
        <v>26591.322950000009</v>
      </c>
      <c r="I97" s="489">
        <f>+ROUND(H97*G97,0)</f>
        <v>32441</v>
      </c>
    </row>
    <row r="98" spans="1:12" x14ac:dyDescent="0.25">
      <c r="A98" s="90"/>
      <c r="B98" s="129" t="s">
        <v>442</v>
      </c>
      <c r="C98" s="155">
        <f>+IF($L$4&gt;23,C75,0)</f>
        <v>6</v>
      </c>
      <c r="D98" s="155">
        <f t="shared" si="1"/>
        <v>0.45</v>
      </c>
      <c r="E98" s="155">
        <f t="shared" si="2"/>
        <v>0.45</v>
      </c>
      <c r="F98" s="155">
        <v>0.875</v>
      </c>
      <c r="G98" s="155">
        <f>+ROUND(C98*D98*E98*F98,2)</f>
        <v>1.06</v>
      </c>
      <c r="H98" s="149">
        <f>Data!I1037</f>
        <v>26744.479255000009</v>
      </c>
      <c r="I98" s="489">
        <f>+ROUND(H98*G98,0)</f>
        <v>28349</v>
      </c>
    </row>
    <row r="99" spans="1:12" x14ac:dyDescent="0.25">
      <c r="A99" s="147"/>
      <c r="B99" s="147"/>
      <c r="C99" s="90"/>
      <c r="D99" s="90"/>
      <c r="E99" s="90"/>
      <c r="F99" s="90"/>
      <c r="G99" s="90"/>
      <c r="H99" s="150"/>
      <c r="I99" s="637"/>
    </row>
    <row r="100" spans="1:12" ht="51.75" customHeight="1" x14ac:dyDescent="0.25">
      <c r="A100" s="146">
        <v>7</v>
      </c>
      <c r="B100" s="2094" t="s">
        <v>1915</v>
      </c>
      <c r="C100" s="2093"/>
      <c r="D100" s="2093"/>
      <c r="E100" s="2093"/>
      <c r="F100" s="90"/>
      <c r="G100" s="90"/>
      <c r="H100" s="150"/>
      <c r="I100" s="637"/>
    </row>
    <row r="101" spans="1:12" x14ac:dyDescent="0.25">
      <c r="A101" s="90"/>
      <c r="B101" s="375">
        <v>2</v>
      </c>
      <c r="C101" s="451">
        <f>+E2</f>
        <v>6</v>
      </c>
      <c r="D101" s="155">
        <f>+E5</f>
        <v>0.55000000000000004</v>
      </c>
      <c r="E101" s="155">
        <f>+F5</f>
        <v>0.4</v>
      </c>
      <c r="F101" s="156">
        <f>+E3</f>
        <v>3.53</v>
      </c>
      <c r="G101" s="155">
        <f>+F101*E101*D101*C101*B101</f>
        <v>9.3192000000000004</v>
      </c>
      <c r="H101" s="150">
        <f>Data!I1050</f>
        <v>20061.890260056818</v>
      </c>
      <c r="I101" s="489">
        <f>+ROUND(H101*G101,0)</f>
        <v>186961</v>
      </c>
    </row>
    <row r="102" spans="1:12" x14ac:dyDescent="0.25">
      <c r="A102" s="90"/>
      <c r="B102" s="1646" t="s">
        <v>456</v>
      </c>
      <c r="C102" s="451"/>
      <c r="D102" s="155"/>
      <c r="E102" s="155"/>
      <c r="F102" s="156"/>
      <c r="G102" s="155"/>
      <c r="H102" s="155"/>
      <c r="I102" s="489"/>
    </row>
    <row r="103" spans="1:12" x14ac:dyDescent="0.25">
      <c r="A103" s="90"/>
      <c r="B103" s="510">
        <f>+IF($L$4&gt;5,1,0)</f>
        <v>1</v>
      </c>
      <c r="C103" s="451">
        <f>+$C$101</f>
        <v>6</v>
      </c>
      <c r="D103" s="155">
        <f>+$D$101</f>
        <v>0.55000000000000004</v>
      </c>
      <c r="E103" s="155">
        <f>+$E$101</f>
        <v>0.4</v>
      </c>
      <c r="F103" s="156">
        <f>+$F$101</f>
        <v>3.53</v>
      </c>
      <c r="G103" s="155">
        <f>+F103*E103*D103*C103*B103</f>
        <v>4.6596000000000002</v>
      </c>
      <c r="H103" s="150">
        <f>Data!I1051</f>
        <v>20521.359175056819</v>
      </c>
      <c r="I103" s="489">
        <f>+ROUND(H103*G103,0)</f>
        <v>95621</v>
      </c>
    </row>
    <row r="104" spans="1:12" x14ac:dyDescent="0.25">
      <c r="A104" s="90"/>
      <c r="B104" s="407" t="s">
        <v>457</v>
      </c>
      <c r="C104" s="451"/>
      <c r="D104" s="155"/>
      <c r="E104" s="155"/>
      <c r="F104" s="156"/>
      <c r="G104" s="155"/>
      <c r="H104" s="155"/>
      <c r="I104" s="489"/>
    </row>
    <row r="105" spans="1:12" x14ac:dyDescent="0.25">
      <c r="A105" s="90"/>
      <c r="B105" s="510">
        <f>+IF(($L$4-$E$10)&gt;8,1,0)</f>
        <v>1</v>
      </c>
      <c r="C105" s="451">
        <f>+$C$101</f>
        <v>6</v>
      </c>
      <c r="D105" s="155">
        <f>+$D$101</f>
        <v>0.55000000000000004</v>
      </c>
      <c r="E105" s="155">
        <f>+$E$101</f>
        <v>0.4</v>
      </c>
      <c r="F105" s="156">
        <f>+$F$101</f>
        <v>3.53</v>
      </c>
      <c r="G105" s="155">
        <f>+F105*E105*D105*C105*B105</f>
        <v>4.6596000000000002</v>
      </c>
      <c r="H105" s="150">
        <f>Data!I1052</f>
        <v>20980.828090056821</v>
      </c>
      <c r="I105" s="489">
        <f>+ROUND(H105*G105,0)</f>
        <v>97762</v>
      </c>
    </row>
    <row r="106" spans="1:12" x14ac:dyDescent="0.25">
      <c r="A106" s="90"/>
      <c r="B106" s="407" t="s">
        <v>458</v>
      </c>
      <c r="C106" s="451"/>
      <c r="D106" s="155"/>
      <c r="E106" s="155"/>
      <c r="F106" s="156"/>
      <c r="G106" s="155"/>
      <c r="H106" s="155"/>
      <c r="I106" s="489"/>
      <c r="L106">
        <f>8/E11</f>
        <v>3.0769230769230766</v>
      </c>
    </row>
    <row r="107" spans="1:12" x14ac:dyDescent="0.25">
      <c r="A107" s="90"/>
      <c r="B107" s="510">
        <f>+IF(($L$4-$E$10)&gt;11,1,0)</f>
        <v>1</v>
      </c>
      <c r="C107" s="451">
        <f>+$C$101</f>
        <v>6</v>
      </c>
      <c r="D107" s="155">
        <f>+$D$101</f>
        <v>0.55000000000000004</v>
      </c>
      <c r="E107" s="155">
        <f>+$E$101</f>
        <v>0.4</v>
      </c>
      <c r="F107" s="156">
        <f>+$F$101</f>
        <v>3.53</v>
      </c>
      <c r="G107" s="155">
        <f>+F107*E107*D107*C107*B107</f>
        <v>4.6596000000000002</v>
      </c>
      <c r="H107" s="150">
        <f>Data!I1053</f>
        <v>21440.297005056822</v>
      </c>
      <c r="I107" s="489">
        <f>+ROUND(H107*G107,0)</f>
        <v>99903</v>
      </c>
    </row>
    <row r="108" spans="1:12" x14ac:dyDescent="0.25">
      <c r="A108" s="90"/>
      <c r="B108" s="407" t="s">
        <v>459</v>
      </c>
      <c r="C108" s="451"/>
      <c r="D108" s="155"/>
      <c r="E108" s="155"/>
      <c r="F108" s="156"/>
      <c r="G108" s="155"/>
      <c r="H108" s="155"/>
      <c r="I108" s="489"/>
    </row>
    <row r="109" spans="1:12" x14ac:dyDescent="0.25">
      <c r="A109" s="90"/>
      <c r="B109" s="510">
        <f>+IF(($L$4-$E$10)&gt;14,1,0)</f>
        <v>1</v>
      </c>
      <c r="C109" s="451">
        <f>+$C$101</f>
        <v>6</v>
      </c>
      <c r="D109" s="155">
        <f>+$D$101</f>
        <v>0.55000000000000004</v>
      </c>
      <c r="E109" s="155">
        <f>+$E$101</f>
        <v>0.4</v>
      </c>
      <c r="F109" s="156">
        <f>+$F$101</f>
        <v>3.53</v>
      </c>
      <c r="G109" s="155">
        <f>+F109*E109*D109*C109*B109</f>
        <v>4.6596000000000002</v>
      </c>
      <c r="H109" s="150">
        <f>Data!I1054</f>
        <v>21899.765920056823</v>
      </c>
      <c r="I109" s="489">
        <f>+ROUND(H109*G109,0)</f>
        <v>102044</v>
      </c>
    </row>
    <row r="110" spans="1:12" x14ac:dyDescent="0.25">
      <c r="A110" s="90"/>
      <c r="B110" s="407" t="s">
        <v>460</v>
      </c>
      <c r="C110" s="451"/>
      <c r="D110" s="155"/>
      <c r="E110" s="155"/>
      <c r="F110" s="156"/>
      <c r="G110" s="155"/>
      <c r="H110" s="155"/>
      <c r="I110" s="489"/>
    </row>
    <row r="111" spans="1:12" x14ac:dyDescent="0.25">
      <c r="A111" s="90"/>
      <c r="B111" s="510">
        <f>+IF(($L$4-$E$10)&gt;17,1,0)</f>
        <v>1</v>
      </c>
      <c r="C111" s="451">
        <f>+$C$101</f>
        <v>6</v>
      </c>
      <c r="D111" s="155">
        <f>+$D$101</f>
        <v>0.55000000000000004</v>
      </c>
      <c r="E111" s="155">
        <f>+$E$101</f>
        <v>0.4</v>
      </c>
      <c r="F111" s="156">
        <f>+$F$101</f>
        <v>3.53</v>
      </c>
      <c r="G111" s="155">
        <f>+F111*E111*D111*C111*B111</f>
        <v>4.6596000000000002</v>
      </c>
      <c r="H111" s="150">
        <f>Data!I1055</f>
        <v>22359.234835056825</v>
      </c>
      <c r="I111" s="489">
        <f>+ROUND(H111*G111,0)</f>
        <v>104185</v>
      </c>
    </row>
    <row r="112" spans="1:12" x14ac:dyDescent="0.25">
      <c r="A112" s="90"/>
      <c r="B112" s="407" t="s">
        <v>461</v>
      </c>
      <c r="C112" s="451"/>
      <c r="D112" s="155"/>
      <c r="E112" s="155"/>
      <c r="F112" s="156"/>
      <c r="G112" s="155"/>
      <c r="H112" s="155"/>
      <c r="I112" s="489"/>
    </row>
    <row r="113" spans="1:9" x14ac:dyDescent="0.25">
      <c r="A113" s="90"/>
      <c r="B113" s="510">
        <f>+IF(($L$4-$E$10)&gt;20,1,0)</f>
        <v>1</v>
      </c>
      <c r="C113" s="451">
        <f>+$C$101</f>
        <v>6</v>
      </c>
      <c r="D113" s="155">
        <f>+$D$101</f>
        <v>0.55000000000000004</v>
      </c>
      <c r="E113" s="155">
        <f>+$E$101</f>
        <v>0.4</v>
      </c>
      <c r="F113" s="156">
        <f>+$F$101</f>
        <v>3.53</v>
      </c>
      <c r="G113" s="155">
        <f>+F113*E113*D113*C113*B113</f>
        <v>4.6596000000000002</v>
      </c>
      <c r="H113" s="150">
        <f>Data!I1056</f>
        <v>22818.703750056826</v>
      </c>
      <c r="I113" s="489">
        <f>+ROUND(H113*G113,0)</f>
        <v>106326</v>
      </c>
    </row>
    <row r="114" spans="1:9" ht="61.5" customHeight="1" x14ac:dyDescent="0.25">
      <c r="A114" s="146">
        <v>9</v>
      </c>
      <c r="B114" s="2094" t="s">
        <v>1916</v>
      </c>
      <c r="C114" s="2093"/>
      <c r="D114" s="2093"/>
      <c r="E114" s="2093"/>
      <c r="F114" s="90"/>
      <c r="G114" s="90"/>
      <c r="H114" s="90"/>
      <c r="I114" s="637"/>
    </row>
    <row r="115" spans="1:9" x14ac:dyDescent="0.25">
      <c r="A115" s="90"/>
      <c r="B115" s="155"/>
      <c r="C115" s="153" t="s">
        <v>147</v>
      </c>
      <c r="D115" s="451">
        <f>+E9</f>
        <v>9.15</v>
      </c>
      <c r="E115" s="149">
        <f>+F13</f>
        <v>0.4</v>
      </c>
      <c r="F115" s="155">
        <f>+E13</f>
        <v>0.55000000000000004</v>
      </c>
      <c r="G115" s="156">
        <f>+(3.14285714285714)*D115*E115*F115</f>
        <v>6.326571428571425</v>
      </c>
      <c r="H115" s="150">
        <f>Data!I1068</f>
        <v>22692.799999999999</v>
      </c>
      <c r="I115" s="489">
        <f>+ROUND(H115*G115,0)</f>
        <v>143568</v>
      </c>
    </row>
    <row r="116" spans="1:9" x14ac:dyDescent="0.25">
      <c r="A116" s="90"/>
      <c r="B116" s="155" t="s">
        <v>1917</v>
      </c>
      <c r="C116" s="153" t="s">
        <v>147</v>
      </c>
      <c r="D116" s="451">
        <f>+IF(D58=20000,0,(G14+E16))</f>
        <v>7.2</v>
      </c>
      <c r="E116" s="149">
        <f>+IF(D58=20000,0,(E16))</f>
        <v>0.2</v>
      </c>
      <c r="F116" s="155">
        <f>+IF(D58=20000,0,F16)</f>
        <v>0.15</v>
      </c>
      <c r="G116" s="156">
        <f>+(3.14285714285714)*D116*E116*F116</f>
        <v>0.67885714285714227</v>
      </c>
      <c r="H116" s="150">
        <f>Data!I1077</f>
        <v>44189.5</v>
      </c>
      <c r="I116" s="489">
        <f>+ROUND(H116*G116,0)</f>
        <v>29998</v>
      </c>
    </row>
    <row r="117" spans="1:9" ht="61.5" customHeight="1" x14ac:dyDescent="0.25">
      <c r="A117" s="146">
        <v>10</v>
      </c>
      <c r="B117" s="2094" t="s">
        <v>1918</v>
      </c>
      <c r="C117" s="2093"/>
      <c r="D117" s="2093"/>
      <c r="E117" s="2093"/>
      <c r="F117" s="90"/>
      <c r="G117" s="150"/>
      <c r="H117" s="150"/>
      <c r="I117" s="637"/>
    </row>
    <row r="118" spans="1:9" x14ac:dyDescent="0.25">
      <c r="A118" s="90"/>
      <c r="B118" s="155"/>
      <c r="C118" s="153" t="s">
        <v>709</v>
      </c>
      <c r="D118" s="101">
        <f>+G12</f>
        <v>6.125</v>
      </c>
      <c r="E118" s="101">
        <f>+H12</f>
        <v>0.98899999999999999</v>
      </c>
      <c r="F118" s="169">
        <f>+E12</f>
        <v>0.125</v>
      </c>
      <c r="G118" s="150">
        <f>2*PI()*D118*E118*F118</f>
        <v>4.7576475495504669</v>
      </c>
      <c r="H118" s="150">
        <f>Data!I1105</f>
        <v>35514.699999999997</v>
      </c>
      <c r="I118" s="489">
        <f>+ROUND(H118*G118,0)</f>
        <v>168966</v>
      </c>
    </row>
    <row r="119" spans="1:9" ht="57" customHeight="1" x14ac:dyDescent="0.25">
      <c r="A119" s="146">
        <v>11</v>
      </c>
      <c r="B119" s="2094" t="s">
        <v>1919</v>
      </c>
      <c r="C119" s="2093"/>
      <c r="D119" s="2093"/>
      <c r="E119" s="2093"/>
      <c r="F119" s="90"/>
      <c r="G119" s="90"/>
      <c r="H119" s="90"/>
      <c r="I119" s="637"/>
    </row>
    <row r="120" spans="1:9" x14ac:dyDescent="0.25">
      <c r="A120" s="90"/>
      <c r="B120" s="90"/>
      <c r="C120" s="153" t="s">
        <v>147</v>
      </c>
      <c r="D120" s="155">
        <f>+G14+F14</f>
        <v>7.1</v>
      </c>
      <c r="E120" s="155">
        <f>+F14</f>
        <v>0.1</v>
      </c>
      <c r="F120" s="156">
        <f>+E14</f>
        <v>3</v>
      </c>
      <c r="G120" s="155">
        <f>+(22/7)*D120*E120*F120</f>
        <v>6.694285714285714</v>
      </c>
      <c r="H120" s="155"/>
      <c r="I120" s="637"/>
    </row>
    <row r="121" spans="1:9" x14ac:dyDescent="0.25">
      <c r="A121" s="90"/>
      <c r="B121" s="90" t="s">
        <v>1920</v>
      </c>
      <c r="C121" s="153" t="s">
        <v>1921</v>
      </c>
      <c r="D121" s="155">
        <f>+(D120-E120)-0.15</f>
        <v>6.85</v>
      </c>
      <c r="E121" s="155">
        <v>0.15</v>
      </c>
      <c r="F121" s="156">
        <v>0.15</v>
      </c>
      <c r="G121" s="155">
        <f>+(3.14285714285714)*D121*E121*F121*0.5</f>
        <v>0.24219642857142831</v>
      </c>
      <c r="H121" s="155"/>
      <c r="I121" s="637"/>
    </row>
    <row r="122" spans="1:9" x14ac:dyDescent="0.25">
      <c r="A122" s="90"/>
      <c r="B122" s="90"/>
      <c r="C122" s="90"/>
      <c r="D122" s="155"/>
      <c r="E122" s="155"/>
      <c r="F122" s="156"/>
      <c r="G122" s="155">
        <f>SUM(G120:G121)</f>
        <v>6.9364821428571419</v>
      </c>
      <c r="H122" s="150">
        <f>Data!I1086</f>
        <v>49679</v>
      </c>
      <c r="I122" s="489">
        <f>+ROUND(H122*G122,0)</f>
        <v>344597</v>
      </c>
    </row>
    <row r="123" spans="1:9" ht="75" customHeight="1" x14ac:dyDescent="0.25">
      <c r="A123" s="146">
        <v>12</v>
      </c>
      <c r="B123" s="2094" t="s">
        <v>1922</v>
      </c>
      <c r="C123" s="2093"/>
      <c r="D123" s="2093"/>
      <c r="E123" s="2093"/>
      <c r="F123" s="90"/>
      <c r="G123" s="90"/>
      <c r="H123" s="90"/>
      <c r="I123" s="402"/>
    </row>
    <row r="124" spans="1:9" x14ac:dyDescent="0.25">
      <c r="A124" s="90"/>
      <c r="B124" s="90"/>
      <c r="C124" s="153" t="s">
        <v>709</v>
      </c>
      <c r="D124" s="101">
        <f>+G15</f>
        <v>6.0750000000000002</v>
      </c>
      <c r="E124" s="101">
        <f>+H15</f>
        <v>1.1299999999999999</v>
      </c>
      <c r="F124" s="169">
        <f>+E15</f>
        <v>7.4999999999999997E-2</v>
      </c>
      <c r="G124" s="150">
        <f>2*PI()*D124*E124*F124</f>
        <v>3.2349372253095798</v>
      </c>
      <c r="H124" s="150">
        <f>Data!I1095</f>
        <v>52150.2</v>
      </c>
      <c r="I124" s="489">
        <f>+ROUND(H124*G124,0)</f>
        <v>168703</v>
      </c>
    </row>
    <row r="125" spans="1:9" ht="60.75" customHeight="1" x14ac:dyDescent="0.25">
      <c r="A125" s="146">
        <v>13</v>
      </c>
      <c r="B125" s="2094" t="s">
        <v>1923</v>
      </c>
      <c r="C125" s="2093"/>
      <c r="D125" s="2093"/>
      <c r="E125" s="2093"/>
      <c r="F125" s="90"/>
      <c r="G125" s="90"/>
      <c r="H125" s="90"/>
      <c r="I125" s="637"/>
    </row>
    <row r="126" spans="1:9" hidden="1" x14ac:dyDescent="0.25">
      <c r="A126" s="90"/>
      <c r="B126" s="90"/>
      <c r="C126" s="90"/>
      <c r="D126" s="90"/>
      <c r="E126" s="90"/>
      <c r="F126" s="90"/>
      <c r="G126" s="90"/>
      <c r="H126" s="90"/>
      <c r="I126" s="637"/>
    </row>
    <row r="127" spans="1:9" hidden="1" x14ac:dyDescent="0.25">
      <c r="A127" s="90"/>
      <c r="B127" s="90"/>
      <c r="C127" s="90"/>
      <c r="D127" s="90"/>
      <c r="E127" s="90"/>
      <c r="F127" s="90"/>
      <c r="G127" s="90"/>
      <c r="H127" s="90"/>
      <c r="I127" s="637"/>
    </row>
    <row r="128" spans="1:9" hidden="1" x14ac:dyDescent="0.25">
      <c r="A128" s="90"/>
      <c r="B128" s="90"/>
      <c r="C128" s="90"/>
      <c r="D128" s="90"/>
      <c r="E128" s="90"/>
      <c r="F128" s="90"/>
      <c r="G128" s="90"/>
      <c r="H128" s="90"/>
      <c r="I128" s="637"/>
    </row>
    <row r="129" spans="1:17" hidden="1" x14ac:dyDescent="0.25">
      <c r="A129" s="90"/>
      <c r="B129" s="90"/>
      <c r="C129" s="90"/>
      <c r="D129" s="90"/>
      <c r="E129" s="90"/>
      <c r="F129" s="90"/>
      <c r="G129" s="90"/>
      <c r="H129" s="90"/>
      <c r="I129" s="637"/>
    </row>
    <row r="130" spans="1:17" hidden="1" x14ac:dyDescent="0.25">
      <c r="A130" s="90"/>
      <c r="B130" s="90"/>
      <c r="C130" s="90"/>
      <c r="D130" s="90"/>
      <c r="E130" s="90"/>
      <c r="F130" s="90"/>
      <c r="G130" s="90"/>
      <c r="H130" s="90"/>
      <c r="I130" s="637"/>
    </row>
    <row r="131" spans="1:17" x14ac:dyDescent="0.25">
      <c r="A131" s="90"/>
      <c r="B131" s="90"/>
      <c r="C131" s="153" t="s">
        <v>147</v>
      </c>
      <c r="D131" s="101">
        <v>8.1</v>
      </c>
      <c r="E131" s="101">
        <f>+IF(B2&gt;20,0.9,0)</f>
        <v>0.9</v>
      </c>
      <c r="F131" s="150">
        <f>+IF(B2&gt;20,0.15,0)</f>
        <v>0.15</v>
      </c>
      <c r="G131" s="150">
        <f>+(3.14285714285714)*D131*E131*F131</f>
        <v>3.4367142857142827</v>
      </c>
      <c r="H131" s="150">
        <f>Data!I1379</f>
        <v>83487.100000000006</v>
      </c>
      <c r="I131" s="489">
        <f>+ROUND(H131*G131,0)</f>
        <v>286921</v>
      </c>
    </row>
    <row r="132" spans="1:17" ht="57.75" customHeight="1" x14ac:dyDescent="0.25">
      <c r="A132" s="146">
        <v>14</v>
      </c>
      <c r="B132" s="2094" t="s">
        <v>1883</v>
      </c>
      <c r="C132" s="2094"/>
      <c r="D132" s="2094"/>
      <c r="E132" s="2094"/>
      <c r="F132" s="169"/>
      <c r="G132" s="150"/>
      <c r="H132" s="150"/>
      <c r="I132" s="637"/>
    </row>
    <row r="133" spans="1:17" x14ac:dyDescent="0.25">
      <c r="A133" s="90"/>
      <c r="B133" s="2167" t="s">
        <v>596</v>
      </c>
      <c r="C133" s="2167"/>
      <c r="D133" s="153" t="s">
        <v>709</v>
      </c>
      <c r="E133" s="150">
        <f>+D124</f>
        <v>6.0750000000000002</v>
      </c>
      <c r="F133" s="217">
        <v>1.1299999999999999</v>
      </c>
      <c r="G133" s="150">
        <f>2*PI()*E133*F133</f>
        <v>43.132496337461063</v>
      </c>
      <c r="H133" s="90"/>
      <c r="I133" s="637"/>
    </row>
    <row r="134" spans="1:17" x14ac:dyDescent="0.25">
      <c r="A134" s="90"/>
      <c r="B134" s="2167" t="s">
        <v>683</v>
      </c>
      <c r="C134" s="2167"/>
      <c r="D134" s="153" t="s">
        <v>147</v>
      </c>
      <c r="E134" s="150">
        <f>+D120-E120</f>
        <v>7</v>
      </c>
      <c r="F134" s="150">
        <f>+F120</f>
        <v>3</v>
      </c>
      <c r="G134" s="150">
        <f>+(3.14285714285714)*E134*F134</f>
        <v>65.999999999999943</v>
      </c>
      <c r="H134" s="90"/>
      <c r="I134" s="637"/>
    </row>
    <row r="135" spans="1:17" x14ac:dyDescent="0.25">
      <c r="A135" s="90"/>
      <c r="B135" s="2167" t="s">
        <v>234</v>
      </c>
      <c r="C135" s="2167"/>
      <c r="D135" s="153" t="s">
        <v>709</v>
      </c>
      <c r="E135" s="150">
        <f>+D118</f>
        <v>6.125</v>
      </c>
      <c r="F135" s="150">
        <f>+E118</f>
        <v>0.98899999999999999</v>
      </c>
      <c r="G135" s="150">
        <f>2*PI()*E135*F135</f>
        <v>38.061180396403735</v>
      </c>
      <c r="H135" s="150"/>
      <c r="I135" s="637"/>
    </row>
    <row r="136" spans="1:17" x14ac:dyDescent="0.25">
      <c r="A136" s="90"/>
      <c r="B136" s="510"/>
      <c r="C136" s="375"/>
      <c r="D136" s="510"/>
      <c r="E136" s="150"/>
      <c r="F136" s="402" t="s">
        <v>499</v>
      </c>
      <c r="G136" s="150">
        <f>SUM(G133:G135)</f>
        <v>147.19367673386475</v>
      </c>
      <c r="H136" s="150">
        <f>Data!I233</f>
        <v>2436.1999999999998</v>
      </c>
      <c r="I136" s="489">
        <f>+ROUND(H136*G136*0.1,0)</f>
        <v>35859</v>
      </c>
    </row>
    <row r="137" spans="1:17" ht="58.5" customHeight="1" x14ac:dyDescent="0.25">
      <c r="A137" s="146">
        <v>15</v>
      </c>
      <c r="B137" s="2094" t="s">
        <v>151</v>
      </c>
      <c r="C137" s="2093"/>
      <c r="D137" s="2093"/>
      <c r="E137" s="2093"/>
      <c r="F137" s="169"/>
      <c r="G137" s="150"/>
      <c r="H137" s="150"/>
      <c r="I137" s="637"/>
      <c r="N137" s="437"/>
      <c r="O137" s="438"/>
      <c r="P137" s="438"/>
      <c r="Q137" s="438"/>
    </row>
    <row r="138" spans="1:17" x14ac:dyDescent="0.25">
      <c r="A138" s="90"/>
      <c r="B138" s="2167" t="s">
        <v>1924</v>
      </c>
      <c r="C138" s="2167"/>
      <c r="D138" s="451" t="s">
        <v>147</v>
      </c>
      <c r="E138" s="451">
        <f>+E134+2*E120</f>
        <v>7.2</v>
      </c>
      <c r="F138" s="157">
        <f>+F134</f>
        <v>3</v>
      </c>
      <c r="G138" s="446">
        <f>+ROUND((3.14285714285714)*E138*F138,2)</f>
        <v>67.89</v>
      </c>
      <c r="H138" s="150"/>
      <c r="I138" s="637"/>
    </row>
    <row r="139" spans="1:17" x14ac:dyDescent="0.25">
      <c r="A139" s="90"/>
      <c r="B139" s="2167" t="s">
        <v>1925</v>
      </c>
      <c r="C139" s="2167"/>
      <c r="D139" s="451" t="s">
        <v>147</v>
      </c>
      <c r="E139" s="451">
        <f>+G7</f>
        <v>6.9</v>
      </c>
      <c r="F139" s="157">
        <f>+E13+F13+F13</f>
        <v>1.35</v>
      </c>
      <c r="G139" s="446">
        <f>+ROUND((3.14285714285714)*E139*F139,2)</f>
        <v>29.28</v>
      </c>
      <c r="H139" s="150"/>
      <c r="I139" s="637"/>
    </row>
    <row r="140" spans="1:17" x14ac:dyDescent="0.25">
      <c r="A140" s="90"/>
      <c r="B140" s="2167" t="s">
        <v>1926</v>
      </c>
      <c r="C140" s="2167"/>
      <c r="D140" s="451">
        <f>+E1</f>
        <v>6</v>
      </c>
      <c r="E140" s="451">
        <f>+(E4+F4)*2</f>
        <v>1.8</v>
      </c>
      <c r="F140" s="157">
        <f>+F76+F78+F79+F80+F81+F82+F83+F84</f>
        <v>8.3500000000000014</v>
      </c>
      <c r="G140" s="446">
        <f>+ROUND(D140*E140*F140,2)</f>
        <v>90.18</v>
      </c>
      <c r="H140" s="150"/>
      <c r="I140" s="637"/>
    </row>
    <row r="141" spans="1:17" x14ac:dyDescent="0.25">
      <c r="A141" s="90"/>
      <c r="B141" s="445" t="s">
        <v>1927</v>
      </c>
      <c r="C141" s="451">
        <f>+B101-1+B103+B105+B107+B109+B111+B113</f>
        <v>7</v>
      </c>
      <c r="D141" s="451">
        <f>+E2</f>
        <v>6</v>
      </c>
      <c r="E141" s="451">
        <f>+(E5+F5)*2</f>
        <v>1.9000000000000001</v>
      </c>
      <c r="F141" s="402">
        <f>+E3</f>
        <v>3.53</v>
      </c>
      <c r="G141" s="150">
        <f>+ROUND(C141*D141*E141*F141,2)</f>
        <v>281.69</v>
      </c>
      <c r="H141" s="150"/>
      <c r="I141" s="637"/>
    </row>
    <row r="142" spans="1:17" x14ac:dyDescent="0.25">
      <c r="A142" s="90"/>
      <c r="B142" s="2167" t="s">
        <v>1928</v>
      </c>
      <c r="C142" s="2167"/>
      <c r="D142" s="153" t="s">
        <v>147</v>
      </c>
      <c r="E142" s="101">
        <v>8.1</v>
      </c>
      <c r="F142" s="402">
        <v>1.95</v>
      </c>
      <c r="G142" s="150">
        <f>+ROUND((3.14285714285714)*E142*F142,2)</f>
        <v>49.64</v>
      </c>
      <c r="H142" s="150"/>
      <c r="I142" s="637"/>
    </row>
    <row r="143" spans="1:17" x14ac:dyDescent="0.25">
      <c r="A143" s="90"/>
      <c r="B143" s="2167" t="s">
        <v>1929</v>
      </c>
      <c r="C143" s="2167"/>
      <c r="D143" s="153" t="s">
        <v>147</v>
      </c>
      <c r="E143" s="101">
        <v>7.2</v>
      </c>
      <c r="F143" s="402">
        <v>0.45</v>
      </c>
      <c r="G143" s="150">
        <f>+ROUND((3.14285714285714)*E143*F143,2)</f>
        <v>10.18</v>
      </c>
      <c r="H143" s="150"/>
      <c r="I143" s="637"/>
    </row>
    <row r="144" spans="1:17" x14ac:dyDescent="0.25">
      <c r="A144" s="90"/>
      <c r="B144" s="147"/>
      <c r="C144" s="90"/>
      <c r="D144" s="90"/>
      <c r="E144" s="150"/>
      <c r="F144" s="402" t="s">
        <v>499</v>
      </c>
      <c r="G144" s="150">
        <f>SUM(G138:G143)</f>
        <v>528.86</v>
      </c>
      <c r="H144" s="150">
        <f>Data!I670</f>
        <v>1491.9</v>
      </c>
      <c r="I144" s="489">
        <f>+ROUND(H144*G144*0.1,0)</f>
        <v>78901</v>
      </c>
    </row>
    <row r="145" spans="1:9" ht="48.75" customHeight="1" x14ac:dyDescent="0.25">
      <c r="A145" s="146">
        <v>16</v>
      </c>
      <c r="B145" s="2094" t="s">
        <v>306</v>
      </c>
      <c r="C145" s="2093"/>
      <c r="D145" s="2093"/>
      <c r="E145" s="2093"/>
      <c r="F145" s="90"/>
      <c r="G145" s="90"/>
      <c r="H145" s="150"/>
      <c r="I145" s="637"/>
    </row>
    <row r="146" spans="1:9" x14ac:dyDescent="0.25">
      <c r="A146" s="90"/>
      <c r="B146" s="147"/>
      <c r="C146" s="375"/>
      <c r="D146" s="90"/>
      <c r="E146" s="90"/>
      <c r="F146" s="90"/>
      <c r="G146" s="150">
        <f>+G144</f>
        <v>528.86</v>
      </c>
      <c r="H146" s="150">
        <f>Data!I315</f>
        <v>1202.7</v>
      </c>
      <c r="I146" s="489">
        <f>+ROUND(H146*G146*0.1,0)</f>
        <v>63606</v>
      </c>
    </row>
    <row r="147" spans="1:9" ht="51" customHeight="1" x14ac:dyDescent="0.25">
      <c r="A147" s="146">
        <v>17</v>
      </c>
      <c r="B147" s="2092" t="s">
        <v>156</v>
      </c>
      <c r="C147" s="2093"/>
      <c r="D147" s="2093"/>
      <c r="E147" s="2093"/>
      <c r="F147" s="90"/>
      <c r="G147" s="150"/>
      <c r="H147" s="150"/>
      <c r="I147" s="637"/>
    </row>
    <row r="148" spans="1:9" x14ac:dyDescent="0.25">
      <c r="A148" s="90"/>
      <c r="B148" s="147"/>
      <c r="C148" s="90"/>
      <c r="D148" s="90"/>
      <c r="E148" s="90"/>
      <c r="F148" s="90"/>
      <c r="G148" s="150">
        <f>+(G71+G73+G77+G78+G79+G80+G81+G82+G83+G84+G101+G103+G105+G107+G109+G111+G113+G115+G118+G122+G124+G116+G131)*0.15</f>
        <v>15.443583609086144</v>
      </c>
      <c r="H148" s="403">
        <f>Data!H327</f>
        <v>60670.400000000001</v>
      </c>
      <c r="I148" s="489">
        <f>+ROUND(H148*G148,0)</f>
        <v>936968</v>
      </c>
    </row>
    <row r="149" spans="1:9" ht="28.5" customHeight="1" x14ac:dyDescent="0.25">
      <c r="A149" s="90"/>
      <c r="B149" s="155" t="s">
        <v>222</v>
      </c>
      <c r="C149" s="155"/>
      <c r="D149" s="155"/>
      <c r="E149" s="155"/>
      <c r="F149" s="90"/>
      <c r="G149" s="506">
        <v>3</v>
      </c>
      <c r="H149" s="150"/>
      <c r="I149" s="489">
        <f>+ROUND((IF(C39&lt;V188,U188,IF(C39&lt;V189,U189,U190))+IF(D39&lt;V188,U188,IF(D39&lt;V189,U189,U190))+U188),0)</f>
        <v>61977</v>
      </c>
    </row>
    <row r="150" spans="1:9" ht="28.5" customHeight="1" x14ac:dyDescent="0.25">
      <c r="A150" s="90"/>
      <c r="B150" s="155" t="s">
        <v>1840</v>
      </c>
      <c r="C150" s="155"/>
      <c r="D150" s="155"/>
      <c r="E150" s="155"/>
      <c r="F150" s="90"/>
      <c r="G150" s="150"/>
      <c r="H150" s="407"/>
      <c r="I150" s="489">
        <v>5000</v>
      </c>
    </row>
    <row r="151" spans="1:9" ht="28.5" customHeight="1" x14ac:dyDescent="0.25">
      <c r="A151" s="90"/>
      <c r="B151" s="155" t="s">
        <v>1930</v>
      </c>
      <c r="C151" s="155"/>
      <c r="D151" s="155"/>
      <c r="E151" s="155"/>
      <c r="F151" s="90"/>
      <c r="G151" s="150"/>
      <c r="H151" s="407"/>
      <c r="I151" s="489">
        <v>7000</v>
      </c>
    </row>
    <row r="152" spans="1:9" ht="28.5" customHeight="1" x14ac:dyDescent="0.25">
      <c r="A152" s="90"/>
      <c r="B152" s="155" t="s">
        <v>1931</v>
      </c>
      <c r="C152" s="155"/>
      <c r="D152" s="155"/>
      <c r="E152" s="155"/>
      <c r="F152" s="90"/>
      <c r="G152" s="150"/>
      <c r="H152" s="407"/>
      <c r="I152" s="489">
        <f>E49</f>
        <v>40593</v>
      </c>
    </row>
    <row r="153" spans="1:9" ht="28.5" customHeight="1" x14ac:dyDescent="0.25">
      <c r="A153" s="90"/>
      <c r="B153" s="155" t="s">
        <v>1842</v>
      </c>
      <c r="C153" s="155"/>
      <c r="D153" s="155"/>
      <c r="E153" s="155"/>
      <c r="F153" s="90"/>
      <c r="G153" s="150"/>
      <c r="H153" s="407"/>
      <c r="I153" s="489">
        <f>+IF(B2&lt;12,1500,2500)</f>
        <v>2500</v>
      </c>
    </row>
    <row r="154" spans="1:9" ht="28.5" customHeight="1" x14ac:dyDescent="0.25">
      <c r="A154" s="90"/>
      <c r="B154" s="155" t="s">
        <v>1932</v>
      </c>
      <c r="C154" s="155"/>
      <c r="D154" s="155"/>
      <c r="E154" s="155"/>
      <c r="F154" s="90"/>
      <c r="G154" s="150"/>
      <c r="H154" s="407"/>
      <c r="I154" s="489">
        <v>2000</v>
      </c>
    </row>
    <row r="155" spans="1:9" ht="28.5" customHeight="1" x14ac:dyDescent="0.25">
      <c r="A155" s="90"/>
      <c r="B155" s="155" t="s">
        <v>1841</v>
      </c>
      <c r="C155" s="155"/>
      <c r="D155" s="155"/>
      <c r="E155" s="155"/>
      <c r="F155" s="90"/>
      <c r="G155" s="150"/>
      <c r="H155" s="407"/>
      <c r="I155" s="1647">
        <f>Staircase!J150</f>
        <v>237721</v>
      </c>
    </row>
    <row r="156" spans="1:9" ht="28.5" customHeight="1" x14ac:dyDescent="0.25">
      <c r="A156" s="90"/>
      <c r="B156" s="155" t="s">
        <v>1933</v>
      </c>
      <c r="C156" s="155"/>
      <c r="D156" s="155"/>
      <c r="E156" s="155"/>
      <c r="F156" s="90"/>
      <c r="G156" s="150"/>
      <c r="H156" s="407"/>
      <c r="I156" s="489">
        <v>2000</v>
      </c>
    </row>
    <row r="157" spans="1:9" ht="28.5" customHeight="1" x14ac:dyDescent="0.25">
      <c r="A157" s="90"/>
      <c r="B157" s="155" t="s">
        <v>1934</v>
      </c>
      <c r="C157" s="155"/>
      <c r="D157" s="155"/>
      <c r="E157" s="155"/>
      <c r="F157" s="90"/>
      <c r="G157" s="150"/>
      <c r="H157" s="407"/>
      <c r="I157" s="489">
        <v>1000</v>
      </c>
    </row>
    <row r="158" spans="1:9" ht="28.5" customHeight="1" x14ac:dyDescent="0.25">
      <c r="A158" s="90"/>
      <c r="B158" s="155" t="s">
        <v>1935</v>
      </c>
      <c r="C158" s="155"/>
      <c r="D158" s="155" t="s">
        <v>100</v>
      </c>
      <c r="E158" s="155"/>
      <c r="F158" s="90"/>
      <c r="G158" s="150"/>
      <c r="H158" s="407"/>
      <c r="I158" s="489">
        <v>3364</v>
      </c>
    </row>
    <row r="159" spans="1:9" ht="28.5" customHeight="1" x14ac:dyDescent="0.25">
      <c r="A159" s="90"/>
      <c r="B159" s="189" t="s">
        <v>1936</v>
      </c>
      <c r="C159" s="155"/>
      <c r="D159" s="155"/>
      <c r="E159" s="155"/>
      <c r="F159" s="90"/>
      <c r="G159" s="90"/>
      <c r="H159" s="407"/>
      <c r="I159" s="489">
        <f>+G51</f>
        <v>837252</v>
      </c>
    </row>
    <row r="160" spans="1:9" ht="28.5" customHeight="1" x14ac:dyDescent="0.25">
      <c r="A160" s="90"/>
      <c r="B160" s="155" t="s">
        <v>1937</v>
      </c>
      <c r="C160" s="155"/>
      <c r="D160" s="155"/>
      <c r="E160" s="155"/>
      <c r="F160" s="90"/>
      <c r="G160" s="90"/>
      <c r="H160" s="407"/>
      <c r="I160" s="489">
        <f>+G52</f>
        <v>146505</v>
      </c>
    </row>
    <row r="161" spans="1:12" ht="28.5" customHeight="1" x14ac:dyDescent="0.25">
      <c r="A161" s="90"/>
      <c r="B161" s="155" t="s">
        <v>2109</v>
      </c>
      <c r="C161" s="155"/>
      <c r="D161" s="155"/>
      <c r="E161" s="155"/>
      <c r="F161" s="1948">
        <v>0.13614999999999999</v>
      </c>
      <c r="G161" s="90"/>
      <c r="H161" s="407"/>
      <c r="I161" s="489">
        <f>+ROUND(((I160+I159)*F161),0)</f>
        <v>133939</v>
      </c>
    </row>
    <row r="162" spans="1:12" ht="28.5" customHeight="1" x14ac:dyDescent="0.25">
      <c r="A162" s="90"/>
      <c r="B162" s="155" t="s">
        <v>507</v>
      </c>
      <c r="C162" s="155"/>
      <c r="D162" s="155"/>
      <c r="E162" s="155"/>
      <c r="F162" s="400"/>
      <c r="G162" s="90"/>
      <c r="H162" s="407"/>
      <c r="I162" s="489">
        <f>+I163-SUM(I62:I161)</f>
        <v>10375</v>
      </c>
    </row>
    <row r="163" spans="1:12" ht="28.5" customHeight="1" x14ac:dyDescent="0.25">
      <c r="A163" s="90"/>
      <c r="B163" s="90"/>
      <c r="C163" s="90"/>
      <c r="D163" s="90"/>
      <c r="E163" s="90"/>
      <c r="F163" s="90"/>
      <c r="G163" s="90"/>
      <c r="H163" s="100" t="s">
        <v>23</v>
      </c>
      <c r="I163" s="1648">
        <f>((INT(SUM(I62:I161)*0.00004))*25000)+25000</f>
        <v>5650000</v>
      </c>
    </row>
    <row r="164" spans="1:12" x14ac:dyDescent="0.25">
      <c r="A164" s="90"/>
      <c r="B164" s="170"/>
      <c r="C164" s="100"/>
      <c r="D164" s="90"/>
      <c r="E164" s="90"/>
      <c r="F164" s="90"/>
      <c r="G164" s="90"/>
      <c r="H164" s="150"/>
      <c r="I164" s="637"/>
    </row>
    <row r="165" spans="1:12" x14ac:dyDescent="0.25">
      <c r="A165" s="90"/>
      <c r="B165" s="166"/>
      <c r="C165" s="375"/>
      <c r="D165" s="90"/>
      <c r="E165" s="90"/>
      <c r="F165" s="90"/>
      <c r="G165" s="90"/>
      <c r="H165" s="90"/>
      <c r="I165" s="637"/>
    </row>
    <row r="166" spans="1:12" x14ac:dyDescent="0.25">
      <c r="A166" s="90"/>
      <c r="B166" s="166"/>
      <c r="C166" s="375"/>
      <c r="D166" s="101"/>
      <c r="E166" s="101"/>
      <c r="F166" s="150"/>
      <c r="G166" s="150"/>
      <c r="H166" s="150"/>
      <c r="I166" s="152"/>
    </row>
    <row r="167" spans="1:12" x14ac:dyDescent="0.25">
      <c r="A167" s="166"/>
      <c r="B167" s="147"/>
      <c r="C167" s="90"/>
      <c r="D167" s="90"/>
      <c r="E167" s="90"/>
      <c r="F167" s="90"/>
      <c r="G167" s="90"/>
      <c r="H167" s="90"/>
      <c r="I167" s="152"/>
    </row>
    <row r="168" spans="1:12" x14ac:dyDescent="0.25">
      <c r="A168" s="147"/>
      <c r="B168" s="166"/>
      <c r="C168" s="90"/>
      <c r="D168" s="90"/>
      <c r="E168" s="90"/>
      <c r="F168" s="90"/>
      <c r="G168" s="90"/>
      <c r="H168" s="90"/>
      <c r="I168" s="152"/>
      <c r="L168" s="378">
        <f>I163-I162</f>
        <v>5639625</v>
      </c>
    </row>
    <row r="169" spans="1:12" x14ac:dyDescent="0.25">
      <c r="A169" s="147"/>
      <c r="B169" s="166"/>
      <c r="C169" s="90"/>
      <c r="D169" s="510"/>
      <c r="E169" s="90"/>
      <c r="F169" s="90"/>
      <c r="G169" s="90"/>
      <c r="H169" s="90"/>
      <c r="I169" s="152"/>
    </row>
    <row r="170" spans="1:12" x14ac:dyDescent="0.25">
      <c r="A170" s="90"/>
      <c r="B170" s="147"/>
      <c r="C170" s="90"/>
      <c r="D170" s="510"/>
      <c r="E170" s="90"/>
      <c r="F170" s="90"/>
      <c r="G170" s="90"/>
      <c r="H170" s="90"/>
      <c r="I170" s="152"/>
    </row>
    <row r="171" spans="1:12" x14ac:dyDescent="0.25">
      <c r="A171" s="90"/>
      <c r="B171" s="166"/>
      <c r="C171" s="90"/>
      <c r="D171" s="510"/>
      <c r="E171" s="90"/>
      <c r="F171" s="90"/>
      <c r="G171" s="90"/>
      <c r="H171" s="90"/>
      <c r="I171" s="152"/>
    </row>
    <row r="172" spans="1:12" x14ac:dyDescent="0.25">
      <c r="A172" s="90"/>
      <c r="B172" s="147"/>
      <c r="C172" s="90"/>
      <c r="D172" s="90"/>
      <c r="E172" s="90"/>
      <c r="F172" s="90"/>
      <c r="G172" s="90"/>
      <c r="H172" s="90"/>
      <c r="I172" s="90"/>
    </row>
    <row r="173" spans="1:12" x14ac:dyDescent="0.25">
      <c r="A173" s="90"/>
      <c r="B173" s="147"/>
      <c r="C173" s="90"/>
      <c r="D173" s="90"/>
      <c r="E173" s="90"/>
      <c r="F173" s="90"/>
      <c r="G173" s="90"/>
      <c r="H173" s="150"/>
      <c r="I173" s="152"/>
    </row>
    <row r="174" spans="1:12" x14ac:dyDescent="0.25">
      <c r="A174" s="166"/>
      <c r="B174" s="147"/>
      <c r="C174" s="90"/>
      <c r="D174" s="90"/>
      <c r="E174" s="90"/>
      <c r="F174" s="90"/>
      <c r="G174" s="90"/>
      <c r="H174" s="90"/>
      <c r="I174" s="90"/>
    </row>
    <row r="175" spans="1:12" x14ac:dyDescent="0.25">
      <c r="A175" s="90"/>
      <c r="B175" s="147"/>
      <c r="C175" s="90"/>
      <c r="D175" s="90"/>
      <c r="E175" s="90"/>
      <c r="F175" s="90"/>
      <c r="G175" s="90"/>
      <c r="H175" s="150"/>
      <c r="I175" s="152"/>
    </row>
    <row r="176" spans="1:12" x14ac:dyDescent="0.25">
      <c r="A176" s="90"/>
      <c r="B176" s="166"/>
      <c r="C176" s="90"/>
      <c r="D176" s="90"/>
      <c r="E176" s="90"/>
      <c r="F176" s="90"/>
      <c r="G176" s="90"/>
      <c r="H176" s="90"/>
      <c r="I176" s="90"/>
    </row>
    <row r="177" spans="1:22" x14ac:dyDescent="0.25">
      <c r="A177" s="90"/>
      <c r="B177" s="166"/>
      <c r="C177" s="90"/>
      <c r="D177" s="90"/>
      <c r="E177" s="90"/>
      <c r="F177" s="90"/>
      <c r="G177" s="90"/>
      <c r="H177" s="90"/>
      <c r="I177" s="90"/>
    </row>
    <row r="178" spans="1:22" x14ac:dyDescent="0.25">
      <c r="A178" s="90"/>
      <c r="B178" s="166"/>
      <c r="C178" s="90"/>
      <c r="D178" s="90"/>
      <c r="E178" s="90"/>
      <c r="F178" s="90"/>
      <c r="G178" s="90"/>
      <c r="H178" s="90"/>
      <c r="I178" s="90"/>
    </row>
    <row r="179" spans="1:22" x14ac:dyDescent="0.25">
      <c r="A179" s="90"/>
      <c r="B179" s="166"/>
      <c r="C179" s="152"/>
      <c r="D179" s="90"/>
      <c r="E179" s="90"/>
      <c r="F179" s="90"/>
      <c r="G179" s="90"/>
      <c r="H179" s="90"/>
      <c r="I179" s="90"/>
    </row>
    <row r="180" spans="1:22" x14ac:dyDescent="0.25">
      <c r="A180" s="90"/>
      <c r="B180" s="166"/>
      <c r="C180" s="152"/>
      <c r="D180" s="90"/>
      <c r="E180" s="90"/>
      <c r="F180" s="90"/>
      <c r="G180" s="90"/>
      <c r="H180" s="90"/>
      <c r="I180" s="90"/>
    </row>
    <row r="181" spans="1:22" x14ac:dyDescent="0.25">
      <c r="A181" s="90"/>
      <c r="B181" s="147"/>
      <c r="C181" s="90"/>
      <c r="D181" s="90"/>
      <c r="E181" s="90"/>
      <c r="F181" s="90"/>
      <c r="G181" s="90"/>
      <c r="H181" s="90"/>
      <c r="I181" s="90"/>
    </row>
    <row r="182" spans="1:22" x14ac:dyDescent="0.25">
      <c r="A182" s="90"/>
      <c r="B182" s="90"/>
      <c r="C182" s="90"/>
      <c r="D182" s="90"/>
      <c r="E182" s="90"/>
      <c r="F182" s="90"/>
      <c r="G182" s="90"/>
      <c r="H182" s="90"/>
      <c r="I182" s="90"/>
    </row>
    <row r="183" spans="1:22" x14ac:dyDescent="0.25">
      <c r="A183" s="166"/>
      <c r="B183" s="147"/>
      <c r="C183" s="90"/>
      <c r="D183" s="90"/>
      <c r="E183" s="90"/>
      <c r="F183" s="90"/>
      <c r="G183" s="90"/>
      <c r="H183" s="90"/>
      <c r="I183" s="90"/>
    </row>
    <row r="184" spans="1:22" x14ac:dyDescent="0.25">
      <c r="A184" s="90"/>
      <c r="B184" s="147"/>
      <c r="C184" s="90"/>
      <c r="D184" s="375"/>
      <c r="E184" s="150"/>
      <c r="F184" s="150"/>
      <c r="G184" s="90"/>
      <c r="H184" s="90"/>
      <c r="I184" s="90"/>
    </row>
    <row r="185" spans="1:22" x14ac:dyDescent="0.25">
      <c r="A185" s="90"/>
      <c r="B185" s="166"/>
      <c r="C185" s="90"/>
      <c r="D185" s="375"/>
      <c r="E185" s="150"/>
      <c r="F185" s="150"/>
      <c r="G185" s="150"/>
      <c r="H185" s="150"/>
      <c r="I185" s="152"/>
    </row>
    <row r="186" spans="1:22" x14ac:dyDescent="0.25">
      <c r="A186" s="166"/>
      <c r="B186" s="147"/>
      <c r="C186" s="90"/>
      <c r="D186" s="90"/>
      <c r="E186" s="90"/>
      <c r="F186" s="90"/>
      <c r="G186" s="90"/>
      <c r="H186" s="90"/>
      <c r="I186" s="90"/>
    </row>
    <row r="187" spans="1:22" x14ac:dyDescent="0.25">
      <c r="A187" s="90"/>
      <c r="B187" s="90"/>
      <c r="C187" s="90"/>
      <c r="D187" s="90"/>
      <c r="E187" s="90"/>
      <c r="F187" s="90"/>
      <c r="G187" s="90"/>
      <c r="H187" s="90"/>
      <c r="I187" s="90"/>
      <c r="T187" s="201" t="s">
        <v>135</v>
      </c>
      <c r="U187" s="1584" t="s">
        <v>140</v>
      </c>
      <c r="V187" s="201"/>
    </row>
    <row r="188" spans="1:22" x14ac:dyDescent="0.25">
      <c r="A188" s="90"/>
      <c r="B188" s="90"/>
      <c r="C188" s="90"/>
      <c r="D188" s="90"/>
      <c r="E188" s="90"/>
      <c r="F188" s="90"/>
      <c r="G188" s="90"/>
      <c r="H188" s="90"/>
      <c r="I188" s="90"/>
      <c r="T188" s="201">
        <v>0.9</v>
      </c>
      <c r="U188" s="201">
        <f>+B5*IF($B$8="Yes",0.8,1)</f>
        <v>12221</v>
      </c>
      <c r="V188" s="201">
        <v>150</v>
      </c>
    </row>
    <row r="189" spans="1:22" x14ac:dyDescent="0.25">
      <c r="A189" s="90"/>
      <c r="B189" s="90"/>
      <c r="C189" s="90"/>
      <c r="D189" s="90"/>
      <c r="E189" s="90"/>
      <c r="F189" s="90"/>
      <c r="G189" s="90"/>
      <c r="H189" s="90"/>
      <c r="I189" s="90"/>
      <c r="T189" s="201">
        <v>1.05</v>
      </c>
      <c r="U189" s="201">
        <f>+B6*IF($B$8="Yes",0.8,1)</f>
        <v>16533</v>
      </c>
      <c r="V189" s="201">
        <v>300</v>
      </c>
    </row>
    <row r="190" spans="1:22" x14ac:dyDescent="0.25">
      <c r="A190" s="90"/>
      <c r="B190" s="90"/>
      <c r="C190" s="90"/>
      <c r="D190" s="90"/>
      <c r="E190" s="90"/>
      <c r="F190" s="90"/>
      <c r="G190" s="90"/>
      <c r="H190" s="90"/>
      <c r="I190" s="90"/>
      <c r="T190" s="201">
        <v>1.2</v>
      </c>
      <c r="U190" s="201">
        <f>+B7*IF($B$8="Yes",0.8,1)</f>
        <v>24878</v>
      </c>
      <c r="V190" s="201"/>
    </row>
    <row r="191" spans="1:22" x14ac:dyDescent="0.25">
      <c r="A191" s="90"/>
      <c r="B191" s="90"/>
      <c r="C191" s="90"/>
      <c r="D191" s="90"/>
      <c r="E191" s="90"/>
      <c r="F191" s="90"/>
      <c r="G191" s="90"/>
      <c r="H191" s="90"/>
      <c r="I191" s="90"/>
      <c r="K191" s="379"/>
    </row>
    <row r="192" spans="1:22" x14ac:dyDescent="0.25">
      <c r="A192" s="90"/>
      <c r="B192" s="90"/>
      <c r="C192" s="90"/>
      <c r="D192" s="90"/>
      <c r="E192" s="90"/>
      <c r="F192" s="90"/>
      <c r="G192" s="90"/>
      <c r="H192" s="90"/>
      <c r="I192" s="90"/>
    </row>
    <row r="193" spans="1:11" x14ac:dyDescent="0.25">
      <c r="A193" s="90"/>
      <c r="B193" s="90"/>
      <c r="C193" s="90"/>
      <c r="D193" s="90"/>
      <c r="E193" s="90"/>
      <c r="F193" s="90"/>
      <c r="G193" s="90"/>
      <c r="H193" s="90"/>
      <c r="I193" s="90"/>
    </row>
    <row r="194" spans="1:11" x14ac:dyDescent="0.25">
      <c r="A194" s="90"/>
      <c r="B194" s="90"/>
      <c r="C194" s="90"/>
      <c r="D194" s="90"/>
      <c r="E194" s="90"/>
      <c r="F194" s="90"/>
      <c r="G194" s="90"/>
      <c r="H194" s="90"/>
      <c r="I194" s="90"/>
    </row>
    <row r="195" spans="1:11" x14ac:dyDescent="0.25">
      <c r="A195" s="90"/>
      <c r="B195" s="90"/>
      <c r="C195" s="90"/>
      <c r="D195" s="90"/>
      <c r="E195" s="90"/>
      <c r="F195" s="90"/>
      <c r="G195" s="90"/>
      <c r="H195" s="90"/>
      <c r="I195" s="90"/>
    </row>
    <row r="196" spans="1:11" x14ac:dyDescent="0.25">
      <c r="A196" s="90"/>
      <c r="B196" s="90"/>
      <c r="C196" s="90"/>
      <c r="D196" s="90"/>
      <c r="E196" s="90"/>
      <c r="F196" s="90"/>
      <c r="G196" s="90"/>
      <c r="H196" s="90"/>
      <c r="I196" s="90"/>
    </row>
    <row r="197" spans="1:11" x14ac:dyDescent="0.25">
      <c r="A197" s="90"/>
      <c r="B197" s="90"/>
      <c r="C197" s="90"/>
      <c r="D197" s="90"/>
      <c r="E197" s="90"/>
      <c r="F197" s="90"/>
      <c r="G197" s="90"/>
      <c r="H197" s="90"/>
      <c r="I197" s="90"/>
    </row>
    <row r="198" spans="1:11" x14ac:dyDescent="0.25">
      <c r="A198" s="90"/>
      <c r="B198" s="90"/>
      <c r="C198" s="90"/>
      <c r="D198" s="90"/>
      <c r="E198" s="90"/>
      <c r="F198" s="90"/>
      <c r="G198" s="90"/>
      <c r="H198" s="90"/>
      <c r="I198" s="90"/>
      <c r="J198" s="378"/>
    </row>
    <row r="199" spans="1:11" x14ac:dyDescent="0.25">
      <c r="A199" s="90"/>
      <c r="B199" s="90"/>
      <c r="C199" s="90"/>
      <c r="D199" s="90"/>
      <c r="E199" s="90"/>
      <c r="F199" s="90"/>
      <c r="G199" s="90"/>
      <c r="H199" s="90"/>
      <c r="I199" s="90"/>
    </row>
    <row r="200" spans="1:11" x14ac:dyDescent="0.25">
      <c r="A200" s="90"/>
      <c r="B200" s="90"/>
      <c r="C200" s="90"/>
      <c r="D200" s="90"/>
      <c r="E200" s="90"/>
      <c r="F200" s="90"/>
      <c r="G200" s="90"/>
      <c r="H200" s="90"/>
      <c r="I200" s="90"/>
      <c r="J200" s="378"/>
    </row>
    <row r="201" spans="1:11" x14ac:dyDescent="0.25">
      <c r="A201" s="90"/>
      <c r="B201" s="90"/>
      <c r="C201" s="90"/>
      <c r="D201" s="90"/>
      <c r="E201" s="90"/>
      <c r="F201" s="90"/>
      <c r="G201" s="90"/>
      <c r="H201" s="90"/>
      <c r="I201" s="90"/>
      <c r="J201" s="378"/>
      <c r="K201" s="378"/>
    </row>
    <row r="202" spans="1:11" x14ac:dyDescent="0.25">
      <c r="A202" s="90"/>
      <c r="B202" s="90"/>
      <c r="C202" s="90"/>
      <c r="D202" s="90"/>
      <c r="E202" s="90"/>
      <c r="F202" s="90"/>
      <c r="G202" s="90"/>
      <c r="H202" s="90"/>
      <c r="I202" s="90"/>
    </row>
    <row r="203" spans="1:11" x14ac:dyDescent="0.25">
      <c r="A203" s="90"/>
      <c r="B203" s="90"/>
      <c r="C203" s="2166" t="s">
        <v>1938</v>
      </c>
      <c r="D203" s="2105"/>
      <c r="E203" s="338">
        <f>+SUM(I61:I160)/B14</f>
        <v>61.174288888888888</v>
      </c>
      <c r="F203" s="90"/>
      <c r="G203" s="90"/>
      <c r="H203" s="90"/>
      <c r="I203" s="90"/>
    </row>
    <row r="204" spans="1:11" x14ac:dyDescent="0.25">
      <c r="A204" s="90"/>
      <c r="B204" s="147" t="s">
        <v>1939</v>
      </c>
      <c r="C204" s="90"/>
      <c r="D204" s="90"/>
      <c r="E204" s="90"/>
      <c r="F204" s="90"/>
      <c r="G204" s="90"/>
      <c r="H204" s="90"/>
      <c r="I204" s="90"/>
    </row>
    <row r="205" spans="1:11" x14ac:dyDescent="0.25">
      <c r="A205" s="90"/>
      <c r="B205" s="90"/>
      <c r="C205" s="90"/>
      <c r="D205" s="90"/>
      <c r="E205" s="90"/>
      <c r="F205" s="90"/>
      <c r="G205" s="90"/>
      <c r="H205" s="90"/>
      <c r="I205" s="90"/>
    </row>
    <row r="206" spans="1:11" x14ac:dyDescent="0.25">
      <c r="A206" s="90"/>
      <c r="B206" s="90"/>
      <c r="C206" s="90"/>
      <c r="D206" s="90"/>
      <c r="E206" s="90"/>
      <c r="F206" s="90"/>
      <c r="G206" s="90"/>
      <c r="H206" s="90"/>
      <c r="I206" s="90"/>
    </row>
    <row r="207" spans="1:11" x14ac:dyDescent="0.25">
      <c r="A207" s="90"/>
      <c r="B207" s="90"/>
      <c r="C207" s="90"/>
      <c r="D207" s="90"/>
      <c r="E207" s="90"/>
      <c r="F207" s="90"/>
      <c r="G207" s="90"/>
      <c r="H207" s="90"/>
      <c r="I207" s="90"/>
    </row>
    <row r="208" spans="1:11" x14ac:dyDescent="0.25">
      <c r="A208" s="90"/>
      <c r="B208" s="90"/>
      <c r="C208" s="90"/>
      <c r="D208" s="90"/>
      <c r="E208" s="90"/>
      <c r="F208" s="90"/>
      <c r="G208" s="90"/>
      <c r="H208" s="90"/>
      <c r="I208" s="90"/>
    </row>
    <row r="209" spans="1:9" x14ac:dyDescent="0.25">
      <c r="A209" s="90"/>
      <c r="B209" s="90"/>
      <c r="C209" s="90"/>
      <c r="D209" s="90"/>
      <c r="E209" s="90"/>
      <c r="F209" s="90"/>
      <c r="G209" s="90"/>
      <c r="H209" s="90"/>
      <c r="I209" s="90"/>
    </row>
  </sheetData>
  <mergeCells count="26">
    <mergeCell ref="B72:E72"/>
    <mergeCell ref="A56:I56"/>
    <mergeCell ref="B61:E61"/>
    <mergeCell ref="B64:E64"/>
    <mergeCell ref="B67:E67"/>
    <mergeCell ref="B69:E69"/>
    <mergeCell ref="B137:E137"/>
    <mergeCell ref="B74:E74"/>
    <mergeCell ref="B100:E100"/>
    <mergeCell ref="B114:E114"/>
    <mergeCell ref="B117:E117"/>
    <mergeCell ref="B119:E119"/>
    <mergeCell ref="B123:E123"/>
    <mergeCell ref="B125:E125"/>
    <mergeCell ref="B132:E132"/>
    <mergeCell ref="B133:C133"/>
    <mergeCell ref="B134:C134"/>
    <mergeCell ref="B135:C135"/>
    <mergeCell ref="B147:E147"/>
    <mergeCell ref="C203:D203"/>
    <mergeCell ref="B138:C138"/>
    <mergeCell ref="B139:C139"/>
    <mergeCell ref="B140:C140"/>
    <mergeCell ref="B142:C142"/>
    <mergeCell ref="B143:C143"/>
    <mergeCell ref="B145:E145"/>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1"/>
  <sheetViews>
    <sheetView topLeftCell="A91" workbookViewId="0">
      <selection activeCell="K110" sqref="K110"/>
    </sheetView>
  </sheetViews>
  <sheetFormatPr defaultRowHeight="15" x14ac:dyDescent="0.25"/>
  <cols>
    <col min="2" max="2" width="11.140625" customWidth="1"/>
    <col min="3" max="3" width="9.140625" bestFit="1" customWidth="1"/>
    <col min="5" max="5" width="9.140625" bestFit="1" customWidth="1"/>
    <col min="9" max="9" width="13.7109375" customWidth="1"/>
    <col min="12" max="12" width="13.85546875" customWidth="1"/>
  </cols>
  <sheetData>
    <row r="1" spans="2:10" x14ac:dyDescent="0.25">
      <c r="F1" s="141"/>
      <c r="G1" s="141"/>
    </row>
    <row r="2" spans="2:10" x14ac:dyDescent="0.25">
      <c r="F2" s="753" t="s">
        <v>769</v>
      </c>
      <c r="G2" s="754"/>
    </row>
    <row r="3" spans="2:10" x14ac:dyDescent="0.25">
      <c r="B3" s="120"/>
      <c r="F3" s="731" t="s">
        <v>228</v>
      </c>
      <c r="G3" s="755" t="s">
        <v>770</v>
      </c>
    </row>
    <row r="4" spans="2:10" x14ac:dyDescent="0.25">
      <c r="B4" s="756"/>
      <c r="F4" s="291" t="s">
        <v>771</v>
      </c>
      <c r="G4" s="757">
        <v>60000</v>
      </c>
    </row>
    <row r="5" spans="2:10" x14ac:dyDescent="0.25">
      <c r="F5" s="291" t="s">
        <v>190</v>
      </c>
      <c r="G5" s="757">
        <v>9.6</v>
      </c>
      <c r="H5" s="1649" t="str">
        <f>+LOOKUP(G4,RAM!L52:L63,RAM!N52:N63)</f>
        <v>12.90,9.75</v>
      </c>
    </row>
    <row r="6" spans="2:10" x14ac:dyDescent="0.25">
      <c r="F6" s="1650" t="s">
        <v>772</v>
      </c>
      <c r="G6" s="1651">
        <f>'VC 80'!L23</f>
        <v>12221</v>
      </c>
    </row>
    <row r="7" spans="2:10" x14ac:dyDescent="0.25">
      <c r="F7" s="291" t="s">
        <v>773</v>
      </c>
      <c r="G7" s="1651">
        <f>'VC 200'!L23</f>
        <v>16533</v>
      </c>
    </row>
    <row r="8" spans="2:10" x14ac:dyDescent="0.25">
      <c r="F8" s="291" t="s">
        <v>774</v>
      </c>
      <c r="G8" s="1651">
        <f>'VC 450'!M22</f>
        <v>24878</v>
      </c>
      <c r="I8" t="s">
        <v>343</v>
      </c>
    </row>
    <row r="9" spans="2:10" x14ac:dyDescent="0.25">
      <c r="F9" s="761" t="s">
        <v>1940</v>
      </c>
      <c r="G9" s="757" t="s">
        <v>668</v>
      </c>
      <c r="I9" s="2170" t="b">
        <f>+IF(F3="OHBR","Pl Enter the Pipe Dia's")</f>
        <v>0</v>
      </c>
      <c r="J9" s="2170"/>
    </row>
    <row r="10" spans="2:10" x14ac:dyDescent="0.25">
      <c r="F10" s="764" t="s">
        <v>777</v>
      </c>
      <c r="G10" s="765">
        <f>+LOOKUP(G4,SSR!B63:B73,RAM!I53:I63)</f>
        <v>29.76</v>
      </c>
      <c r="I10" s="2171" t="str">
        <f>+F3</f>
        <v>OHSR</v>
      </c>
      <c r="J10" s="2171"/>
    </row>
    <row r="11" spans="2:10" x14ac:dyDescent="0.25">
      <c r="F11" s="206" t="s">
        <v>778</v>
      </c>
      <c r="G11" s="767">
        <f>Lead!K15</f>
        <v>6400</v>
      </c>
      <c r="I11" s="1652" t="s">
        <v>1941</v>
      </c>
      <c r="J11" s="1652">
        <v>200</v>
      </c>
    </row>
    <row r="12" spans="2:10" x14ac:dyDescent="0.25">
      <c r="F12" s="206" t="s">
        <v>779</v>
      </c>
      <c r="G12" s="767">
        <f>Lead!K16</f>
        <v>42000</v>
      </c>
      <c r="I12" s="1653" t="s">
        <v>1942</v>
      </c>
      <c r="J12" s="1652">
        <v>200</v>
      </c>
    </row>
    <row r="13" spans="2:10" x14ac:dyDescent="0.25">
      <c r="F13" s="203" t="s">
        <v>780</v>
      </c>
      <c r="G13" s="767">
        <f>SSR!C74</f>
        <v>6400</v>
      </c>
      <c r="I13" s="1652" t="s">
        <v>789</v>
      </c>
      <c r="J13" s="1652">
        <v>200</v>
      </c>
    </row>
    <row r="14" spans="2:10" x14ac:dyDescent="0.25">
      <c r="F14" s="206" t="s">
        <v>781</v>
      </c>
      <c r="G14" s="767">
        <f>SSR!C75</f>
        <v>42000</v>
      </c>
    </row>
    <row r="18" spans="1:10" x14ac:dyDescent="0.25">
      <c r="A18" s="769"/>
      <c r="B18" s="131"/>
      <c r="C18" s="770">
        <f>+G4</f>
        <v>60000</v>
      </c>
      <c r="D18" s="272" t="s">
        <v>782</v>
      </c>
      <c r="E18" s="132"/>
      <c r="H18" s="132"/>
      <c r="I18" s="132"/>
    </row>
    <row r="19" spans="1:10" x14ac:dyDescent="0.25">
      <c r="B19" s="97"/>
      <c r="C19" s="93" t="str">
        <f>Design!$B$1</f>
        <v>CPWS SCHEME TO                                                                                                       DISTRICT</v>
      </c>
    </row>
    <row r="20" spans="1:10" x14ac:dyDescent="0.25">
      <c r="B20" s="97"/>
    </row>
    <row r="22" spans="1:10" x14ac:dyDescent="0.25">
      <c r="D22" s="112"/>
    </row>
    <row r="23" spans="1:10" x14ac:dyDescent="0.25">
      <c r="C23" s="112" t="s">
        <v>783</v>
      </c>
      <c r="D23" s="771">
        <f>+D25-G23-G25+LOOKUP(G4,RAM!L52:L61,RAM!M52:M61)</f>
        <v>11.799999999999999</v>
      </c>
      <c r="F23" s="113" t="s">
        <v>565</v>
      </c>
      <c r="G23" s="391">
        <v>0.15</v>
      </c>
    </row>
    <row r="24" spans="1:10" x14ac:dyDescent="0.25">
      <c r="C24" s="112"/>
      <c r="D24" s="123"/>
      <c r="F24" s="113"/>
      <c r="G24" s="391"/>
    </row>
    <row r="25" spans="1:10" x14ac:dyDescent="0.25">
      <c r="C25" s="112" t="s">
        <v>784</v>
      </c>
      <c r="D25" s="772">
        <f>+D32+G5</f>
        <v>9.6</v>
      </c>
      <c r="F25" s="113" t="s">
        <v>785</v>
      </c>
      <c r="G25" s="391">
        <v>0.15</v>
      </c>
    </row>
    <row r="26" spans="1:10" x14ac:dyDescent="0.25">
      <c r="D26" s="123"/>
    </row>
    <row r="27" spans="1:10" x14ac:dyDescent="0.25">
      <c r="D27" s="123"/>
      <c r="H27" s="90"/>
      <c r="I27" s="773"/>
      <c r="J27" s="243"/>
    </row>
    <row r="28" spans="1:10" x14ac:dyDescent="0.25">
      <c r="D28" s="123"/>
    </row>
    <row r="29" spans="1:10" x14ac:dyDescent="0.25">
      <c r="D29" s="123"/>
    </row>
    <row r="30" spans="1:10" x14ac:dyDescent="0.25">
      <c r="D30" s="123"/>
    </row>
    <row r="31" spans="1:10" x14ac:dyDescent="0.25">
      <c r="C31" s="112"/>
    </row>
    <row r="32" spans="1:10" x14ac:dyDescent="0.25">
      <c r="C32" s="774" t="s">
        <v>566</v>
      </c>
      <c r="D32" s="771">
        <v>0</v>
      </c>
    </row>
    <row r="37" spans="1:7" x14ac:dyDescent="0.25">
      <c r="A37" s="90"/>
    </row>
    <row r="38" spans="1:7" x14ac:dyDescent="0.25">
      <c r="A38" s="90"/>
      <c r="C38" s="775" t="s">
        <v>786</v>
      </c>
      <c r="D38" s="775" t="s">
        <v>787</v>
      </c>
      <c r="E38" s="775" t="s">
        <v>788</v>
      </c>
      <c r="F38" s="775" t="s">
        <v>789</v>
      </c>
    </row>
    <row r="39" spans="1:7" x14ac:dyDescent="0.25">
      <c r="A39" s="90"/>
      <c r="B39" s="775"/>
      <c r="C39" s="756"/>
      <c r="D39" s="756"/>
      <c r="E39" s="120"/>
      <c r="F39" s="756"/>
    </row>
    <row r="40" spans="1:7" x14ac:dyDescent="0.25">
      <c r="B40" s="776" t="s">
        <v>790</v>
      </c>
      <c r="C40" s="777">
        <f>+IF(G3="yes",LOOKUP(RAM!C63,RAM!B67:B90,RAM!C67:C90),J11)</f>
        <v>80</v>
      </c>
      <c r="D40" s="777">
        <f>+IF(G3="yes",LOOKUP(RAM!C64,RAM!B67:B90,RAM!C67:C90),J12)</f>
        <v>100</v>
      </c>
      <c r="E40" s="777">
        <v>80</v>
      </c>
      <c r="F40" s="731">
        <f>+IF(G3="yes",C40,J13)</f>
        <v>80</v>
      </c>
    </row>
    <row r="41" spans="1:7" x14ac:dyDescent="0.25">
      <c r="B41" s="1545" t="s">
        <v>1774</v>
      </c>
      <c r="C41" s="1546">
        <f>+INT((D23-D32)/2)</f>
        <v>5</v>
      </c>
      <c r="D41" s="1546">
        <f>+INT((D25-D32)/2)</f>
        <v>4</v>
      </c>
      <c r="E41" s="1546">
        <f>+INT((D25-G25-D32)/2)</f>
        <v>4</v>
      </c>
      <c r="F41" s="1547">
        <f>+INT((D23-D32)/2)</f>
        <v>5</v>
      </c>
      <c r="G41" s="378"/>
    </row>
    <row r="42" spans="1:7" x14ac:dyDescent="0.25">
      <c r="B42" s="1548" t="s">
        <v>1775</v>
      </c>
      <c r="C42" s="779">
        <f>+INT((D23-D32)-C41*2)</f>
        <v>1</v>
      </c>
      <c r="D42" s="779">
        <f>+INT((D25-D32)-D41*2)</f>
        <v>1</v>
      </c>
      <c r="E42" s="1546">
        <f>+INT((D25-G25-D32)-E41*2)</f>
        <v>1</v>
      </c>
      <c r="F42" s="204">
        <f>+INT((D23-D32)-F41*2)</f>
        <v>1</v>
      </c>
      <c r="G42" s="378"/>
    </row>
    <row r="43" spans="1:7" x14ac:dyDescent="0.25">
      <c r="B43" s="1545" t="s">
        <v>1776</v>
      </c>
      <c r="C43" s="1546">
        <f>+((D23-D32)-(C41*2+C42*1)+1)</f>
        <v>1.7999999999999989</v>
      </c>
      <c r="D43" s="1546">
        <f>+((D25-D32)-(D41*2+D42*1)+1)</f>
        <v>1.5999999999999996</v>
      </c>
      <c r="E43" s="1546">
        <f>+((D25-G25-D32)-E41*2-E42*1+1)</f>
        <v>1.4499999999999993</v>
      </c>
      <c r="F43" s="1547">
        <f>+(D23-D32)-F41*2-F42*1+1</f>
        <v>1.7999999999999989</v>
      </c>
      <c r="G43" s="378"/>
    </row>
    <row r="44" spans="1:7" x14ac:dyDescent="0.25">
      <c r="B44" s="1545" t="s">
        <v>172</v>
      </c>
      <c r="C44" s="779">
        <v>1</v>
      </c>
      <c r="D44" s="779">
        <v>1</v>
      </c>
      <c r="E44" s="779">
        <v>1</v>
      </c>
      <c r="F44" s="204">
        <v>1</v>
      </c>
      <c r="G44" s="378"/>
    </row>
    <row r="45" spans="1:7" x14ac:dyDescent="0.25">
      <c r="B45" s="1545" t="s">
        <v>1943</v>
      </c>
      <c r="C45" s="779">
        <v>1</v>
      </c>
      <c r="D45" s="779">
        <v>0</v>
      </c>
      <c r="E45" s="779">
        <v>0</v>
      </c>
      <c r="F45" s="204">
        <v>1</v>
      </c>
      <c r="G45" s="378"/>
    </row>
    <row r="46" spans="1:7" x14ac:dyDescent="0.25">
      <c r="B46" s="1545" t="s">
        <v>1777</v>
      </c>
      <c r="C46" s="779">
        <v>1</v>
      </c>
      <c r="D46" s="779">
        <v>0</v>
      </c>
      <c r="E46" s="779">
        <v>1</v>
      </c>
      <c r="F46" s="204">
        <v>1</v>
      </c>
      <c r="G46" s="378"/>
    </row>
    <row r="47" spans="1:7" x14ac:dyDescent="0.25">
      <c r="B47" s="1545" t="s">
        <v>202</v>
      </c>
      <c r="C47" s="779">
        <v>1</v>
      </c>
      <c r="D47" s="779">
        <v>0</v>
      </c>
      <c r="E47" s="779">
        <v>0</v>
      </c>
      <c r="F47" s="204">
        <v>1</v>
      </c>
      <c r="G47" s="378"/>
    </row>
    <row r="48" spans="1:7" x14ac:dyDescent="0.25">
      <c r="B48" s="778" t="s">
        <v>791</v>
      </c>
      <c r="C48" s="779">
        <v>1</v>
      </c>
      <c r="D48" s="779">
        <v>1</v>
      </c>
      <c r="E48" s="779">
        <v>1</v>
      </c>
      <c r="F48" s="204">
        <v>0</v>
      </c>
      <c r="G48" s="378"/>
    </row>
    <row r="49" spans="2:9" x14ac:dyDescent="0.25">
      <c r="B49" s="207" t="s">
        <v>204</v>
      </c>
      <c r="C49" s="204">
        <v>0</v>
      </c>
      <c r="D49" s="204">
        <v>0</v>
      </c>
      <c r="E49" s="204">
        <v>1</v>
      </c>
      <c r="F49" s="204">
        <v>0</v>
      </c>
    </row>
    <row r="51" spans="2:9" x14ac:dyDescent="0.25">
      <c r="B51" s="97" t="s">
        <v>1944</v>
      </c>
    </row>
    <row r="52" spans="2:9" x14ac:dyDescent="0.25">
      <c r="B52" s="723" t="s">
        <v>1945</v>
      </c>
    </row>
    <row r="53" spans="2:9" x14ac:dyDescent="0.25">
      <c r="B53" s="141"/>
      <c r="C53" s="141"/>
      <c r="D53" s="141"/>
      <c r="E53" s="141"/>
      <c r="F53" s="141"/>
      <c r="G53" s="780" t="s">
        <v>23</v>
      </c>
    </row>
    <row r="54" spans="2:9" x14ac:dyDescent="0.25">
      <c r="B54" s="1654" t="s">
        <v>1778</v>
      </c>
      <c r="C54" s="92">
        <f>+((LOOKUP(C40,RAM!$E$67:$E$78,RAM!$H$67:$H$78))*C41+(LOOKUP(C40,RAM!$E$67:$E$78,RAM!$G$67:$G$78))*C42+(LOOKUP(C40,RAM!$E$67:$E$78,RAM!$F$67:$F$78))*C43+(LOOKUP(C40,RAM!$E$67:$E$78,RAM!$I$67:$I$78))*C44+(LOOKUP(C40,RAM!$E$67:$E$78,RAM!$M$67:$M$78))*C45+(LOOKUP(C40,RAM!$E$67:$E$78,RAM!$J$67:$J$78))*C46+(LOOKUP(C40,RAM!$E$67:$E$78,RAM!$L$67:$L$78))*C47+(LOOKUP(C40,RAM!$E$67:$E$78,RAM!$K$67:$K$78))*C48*0+(LOOKUP(C40,RAM!$E$67:$E$78,RAM!$N$67:$N$78))*C49)</f>
        <v>25905.8488</v>
      </c>
      <c r="D54" s="92">
        <f>+((LOOKUP(D40,RAM!$E$67:$E$78,RAM!$H$67:$H$78))*D41+(LOOKUP(D40,RAM!$E$67:$E$78,RAM!$G$67:$G$78))*D42+(LOOKUP(D40,RAM!$E$67:$E$78,RAM!$F$67:$F$78))*D43+(LOOKUP(D40,RAM!$E$67:$E$78,RAM!$I$67:$I$78))*D44+(LOOKUP(D40,RAM!$E$67:$E$78,RAM!$M$67:$M$78))*D45+(LOOKUP(D40,RAM!$E$67:$E$78,RAM!$J$67:$J$78))*D46+(LOOKUP(D40,RAM!$E$67:$E$78,RAM!$L$67:$L$78))*D47+(LOOKUP(D40,RAM!$E$67:$E$78,RAM!$K$67:$K$78))*D48*0+(LOOKUP(D40,RAM!$E$67:$E$78,RAM!$N$67:$N$78))*D49)</f>
        <v>24459.8508</v>
      </c>
      <c r="E54" s="92">
        <f>+((LOOKUP(E40,RAM!$E$67:$E$78,RAM!$H$67:$H$78))*E41+(LOOKUP(E40,RAM!$E$67:$E$78,RAM!$G$67:$G$78))*E42+(LOOKUP(E40,RAM!$E$67:$E$78,RAM!$F$67:$F$78))*E43+(LOOKUP(E40,RAM!$E$67:$E$78,RAM!$I$67:$I$78))*E44+(LOOKUP(E40,RAM!$E$67:$E$78,RAM!$M$67:$M$78))*E45+(LOOKUP(E40,RAM!$E$67:$E$78,RAM!$J$67:$J$78))*E46+(LOOKUP(E40,RAM!$E$67:$E$78,RAM!$L$67:$L$78))*E47+(LOOKUP(E40,RAM!$E$67:$E$78,RAM!$K$67:$K$78))*E48*0+(LOOKUP(E40,RAM!$E$67:$E$78,RAM!$N$67:$N$78))*E49)</f>
        <v>21680.771200000003</v>
      </c>
      <c r="F54" s="92">
        <f>+((LOOKUP(F40,RAM!$E$67:$E$78,RAM!$H$67:$H$78))*F41+(LOOKUP(F40,RAM!$E$67:$E$78,RAM!$G$67:$G$78))*F42+(LOOKUP(F40,RAM!$E$67:$E$78,RAM!$F$67:$F$78))*F43+(LOOKUP(F40,RAM!$E$67:$E$78,RAM!$I$67:$I$78))*F44+(LOOKUP(F40,RAM!$E$67:$E$78,RAM!$M$67:$M$78))*F45+(LOOKUP(F40,RAM!$E$67:$E$78,RAM!$J$67:$J$78))*F46+(LOOKUP(F40,RAM!$E$67:$E$78,RAM!$L$67:$L$78))*F47+(LOOKUP(F40,RAM!$E$67:$E$78,RAM!$K$67:$K$78))*F48*0+(LOOKUP(F40,RAM!$E$67:$E$78,RAM!$N$67:$N$78))*F49)</f>
        <v>25905.8488</v>
      </c>
      <c r="G54" s="782">
        <f>+ROUND((F54+E54+D54+C54),0)</f>
        <v>97952</v>
      </c>
    </row>
    <row r="55" spans="2:9" x14ac:dyDescent="0.25">
      <c r="B55" s="1655" t="s">
        <v>1946</v>
      </c>
      <c r="C55" s="92">
        <f>+(LOOKUP(C40,RAM!$E$67:$E$78,RAM!$O$67:$O$78))*C48</f>
        <v>9019.5</v>
      </c>
      <c r="D55" s="92">
        <f>+(LOOKUP(D40,RAM!$E$67:$E$78,RAM!$O$67:$O$78))*D48</f>
        <v>11897.550000000001</v>
      </c>
      <c r="E55" s="92">
        <f>+(LOOKUP(E40,RAM!$E$67:$E$78,RAM!$O$67:$O$78))*E48</f>
        <v>9019.5</v>
      </c>
      <c r="F55" s="92">
        <f>+(LOOKUP(F40,RAM!$E$67:$E$78,RAM!$O$67:$O$78))*F48</f>
        <v>0</v>
      </c>
      <c r="G55" s="782">
        <f>+ROUND((F55+E55+D55+C55),0)</f>
        <v>29937</v>
      </c>
    </row>
    <row r="62" spans="2:9" x14ac:dyDescent="0.25">
      <c r="B62" s="783" t="s">
        <v>794</v>
      </c>
      <c r="C62" s="784">
        <v>150</v>
      </c>
      <c r="D62" s="785" t="s">
        <v>795</v>
      </c>
      <c r="F62" s="230" t="s">
        <v>796</v>
      </c>
      <c r="G62" s="224">
        <f>+ROUND(C62*1000/3600,2)</f>
        <v>41.67</v>
      </c>
      <c r="H62" s="230" t="s">
        <v>797</v>
      </c>
      <c r="I62" s="786">
        <f>ROUND((G62^2)*0.6*0.1,2)</f>
        <v>104.18</v>
      </c>
    </row>
    <row r="63" spans="2:9" x14ac:dyDescent="0.25">
      <c r="B63" s="787" t="s">
        <v>798</v>
      </c>
      <c r="C63" s="194">
        <f>+G4</f>
        <v>60000</v>
      </c>
      <c r="D63" s="788" t="s">
        <v>799</v>
      </c>
      <c r="E63" s="787"/>
      <c r="F63" s="789">
        <f>+G5</f>
        <v>9.6</v>
      </c>
      <c r="G63" s="787" t="s">
        <v>800</v>
      </c>
      <c r="H63" s="787"/>
    </row>
    <row r="64" spans="2:9" x14ac:dyDescent="0.25">
      <c r="B64" s="2155" t="str">
        <f>Design!B1</f>
        <v>CPWS SCHEME TO                                                                                                       DISTRICT</v>
      </c>
      <c r="C64" s="2155"/>
      <c r="D64" s="2155"/>
      <c r="E64" s="2155"/>
      <c r="F64" s="2155"/>
      <c r="G64" s="2155"/>
      <c r="H64" s="787"/>
    </row>
    <row r="65" spans="2:9" x14ac:dyDescent="0.25">
      <c r="B65" s="790"/>
      <c r="C65" s="790"/>
      <c r="D65" s="790"/>
      <c r="E65" s="790"/>
      <c r="F65" s="790"/>
      <c r="G65" s="790"/>
      <c r="H65" s="107" t="s">
        <v>136</v>
      </c>
      <c r="I65" s="137">
        <f>+I105</f>
        <v>1980000</v>
      </c>
    </row>
    <row r="66" spans="2:9" x14ac:dyDescent="0.25">
      <c r="B66" s="2092" t="str">
        <f>+CONCATENATE("Construction of ",G4," Lts Capacity  OHSR with ",G5," m staging with raft foundation")</f>
        <v>Construction of 60000 Lts Capacity  OHSR with 9.6 m staging with raft foundation</v>
      </c>
      <c r="C66" s="2092"/>
      <c r="D66" s="2092"/>
      <c r="E66" s="2092"/>
      <c r="F66" s="2092"/>
      <c r="G66" s="2092"/>
      <c r="H66" s="2092"/>
    </row>
    <row r="67" spans="2:9" ht="114.75" customHeight="1" x14ac:dyDescent="0.25">
      <c r="B67" s="2092" t="s">
        <v>1947</v>
      </c>
      <c r="C67" s="2092"/>
      <c r="D67" s="2092"/>
      <c r="E67" s="2092"/>
      <c r="F67" s="2092"/>
      <c r="G67" s="2092"/>
      <c r="H67" s="2092"/>
    </row>
    <row r="68" spans="2:9" s="1656" customFormat="1" ht="12.75" x14ac:dyDescent="0.2">
      <c r="B68" s="2168" t="s">
        <v>1948</v>
      </c>
      <c r="C68" s="2168"/>
      <c r="D68" s="2168"/>
      <c r="E68" s="2168"/>
      <c r="F68" s="2168"/>
      <c r="G68" s="2168"/>
      <c r="H68" s="2168"/>
    </row>
    <row r="69" spans="2:9" s="1656" customFormat="1" ht="12.75" x14ac:dyDescent="0.2">
      <c r="B69" s="2168" t="s">
        <v>1949</v>
      </c>
      <c r="C69" s="2168"/>
      <c r="D69" s="2168"/>
      <c r="E69" s="2168"/>
      <c r="F69" s="2168"/>
      <c r="G69" s="2168"/>
      <c r="H69" s="2168"/>
    </row>
    <row r="70" spans="2:9" s="1656" customFormat="1" ht="12.75" x14ac:dyDescent="0.2">
      <c r="B70" s="2168" t="s">
        <v>1950</v>
      </c>
      <c r="C70" s="2168"/>
      <c r="D70" s="2168"/>
      <c r="E70" s="2168"/>
      <c r="F70" s="2168"/>
      <c r="G70" s="2168"/>
      <c r="H70" s="2168"/>
    </row>
    <row r="71" spans="2:9" s="1656" customFormat="1" ht="12.75" x14ac:dyDescent="0.2">
      <c r="B71" s="2168" t="s">
        <v>1951</v>
      </c>
      <c r="C71" s="2168"/>
      <c r="D71" s="2168"/>
      <c r="E71" s="2168"/>
      <c r="F71" s="2168"/>
      <c r="G71" s="2168"/>
      <c r="H71" s="2168"/>
    </row>
    <row r="72" spans="2:9" s="1656" customFormat="1" ht="12.75" x14ac:dyDescent="0.2">
      <c r="B72" s="2168" t="s">
        <v>1952</v>
      </c>
      <c r="C72" s="2168"/>
      <c r="D72" s="2168"/>
      <c r="E72" s="2168"/>
      <c r="F72" s="2168"/>
      <c r="G72" s="2168"/>
      <c r="H72" s="2168"/>
    </row>
    <row r="73" spans="2:9" s="1656" customFormat="1" ht="12.75" x14ac:dyDescent="0.2">
      <c r="B73" s="2169" t="s">
        <v>1953</v>
      </c>
      <c r="C73" s="2169"/>
      <c r="D73" s="2169"/>
      <c r="E73" s="2169"/>
      <c r="F73" s="2169"/>
      <c r="G73" s="2169"/>
      <c r="H73" s="2169"/>
    </row>
    <row r="74" spans="2:9" s="1656" customFormat="1" ht="12.75" x14ac:dyDescent="0.2">
      <c r="B74" s="2168" t="s">
        <v>1954</v>
      </c>
      <c r="C74" s="2168"/>
      <c r="D74" s="2168"/>
      <c r="E74" s="2168"/>
      <c r="F74" s="2168"/>
      <c r="G74" s="2168"/>
      <c r="H74" s="2168"/>
    </row>
    <row r="75" spans="2:9" s="1656" customFormat="1" ht="12.75" x14ac:dyDescent="0.2">
      <c r="B75" s="2168" t="s">
        <v>1955</v>
      </c>
      <c r="C75" s="2168"/>
      <c r="D75" s="2168"/>
      <c r="E75" s="2168"/>
      <c r="F75" s="2168"/>
      <c r="G75" s="2168"/>
      <c r="H75" s="2168"/>
    </row>
    <row r="76" spans="2:9" s="1656" customFormat="1" ht="12.75" x14ac:dyDescent="0.2">
      <c r="B76" s="2168" t="s">
        <v>1956</v>
      </c>
      <c r="C76" s="2168"/>
      <c r="D76" s="2168"/>
      <c r="E76" s="2168"/>
      <c r="F76" s="2168"/>
      <c r="G76" s="2168"/>
      <c r="H76" s="2168"/>
    </row>
    <row r="77" spans="2:9" x14ac:dyDescent="0.25">
      <c r="B77" s="1657"/>
      <c r="C77" s="1657"/>
      <c r="D77" s="1657"/>
      <c r="E77" s="1657"/>
      <c r="F77" s="1657"/>
      <c r="G77" s="1657"/>
      <c r="H77" s="1657"/>
    </row>
    <row r="78" spans="2:9" x14ac:dyDescent="0.25">
      <c r="B78" s="129" t="s">
        <v>810</v>
      </c>
      <c r="C78" s="129">
        <f>+G4</f>
        <v>60000</v>
      </c>
      <c r="D78" s="130" t="s">
        <v>811</v>
      </c>
      <c r="E78" s="792">
        <f>+G10</f>
        <v>29.76</v>
      </c>
      <c r="F78" s="129"/>
      <c r="G78" s="129"/>
      <c r="H78" s="515" t="s">
        <v>812</v>
      </c>
      <c r="I78" s="794">
        <f>+C78*E78</f>
        <v>1785600</v>
      </c>
    </row>
    <row r="79" spans="2:9" x14ac:dyDescent="0.25">
      <c r="B79" s="1658"/>
      <c r="C79" s="129"/>
      <c r="D79" s="130"/>
      <c r="E79" s="686"/>
      <c r="F79" s="129"/>
      <c r="G79" s="129"/>
      <c r="H79" s="515"/>
      <c r="I79" s="129"/>
    </row>
    <row r="80" spans="2:9" x14ac:dyDescent="0.25">
      <c r="B80" t="s">
        <v>862</v>
      </c>
      <c r="C80" s="793" t="str">
        <f>+IF(Data!$I$4=0%,"(With 10% Rural area allowence)","(With out Rural area allowence Due to MA)")</f>
        <v>(With out Rural area allowence Due to MA)</v>
      </c>
      <c r="D80" s="129"/>
      <c r="E80" s="129"/>
      <c r="F80" s="129"/>
      <c r="G80" s="129"/>
      <c r="H80" s="515"/>
      <c r="I80" s="794">
        <f>IF(Data!I4=0%,(0.1*I78),(0))</f>
        <v>0</v>
      </c>
    </row>
    <row r="81" spans="2:14" x14ac:dyDescent="0.25">
      <c r="B81" s="129" t="s">
        <v>814</v>
      </c>
      <c r="C81" s="129"/>
      <c r="D81" s="129"/>
      <c r="E81" s="129"/>
      <c r="F81" s="129"/>
      <c r="G81" s="129"/>
      <c r="H81" s="515"/>
      <c r="I81" s="129"/>
    </row>
    <row r="82" spans="2:14" x14ac:dyDescent="0.25">
      <c r="B82" s="129"/>
      <c r="C82" s="529">
        <f>+G11</f>
        <v>6400</v>
      </c>
      <c r="D82" s="529">
        <f>+G13</f>
        <v>6400</v>
      </c>
      <c r="E82" s="529">
        <v>0.7</v>
      </c>
      <c r="F82" s="129">
        <f>+I78</f>
        <v>1785600</v>
      </c>
      <c r="G82" s="129"/>
      <c r="H82" s="515" t="s">
        <v>812</v>
      </c>
      <c r="I82" s="794">
        <f>+ROUND(((C82-D82)*0.7*I78)/(100*100),0)</f>
        <v>0</v>
      </c>
    </row>
    <row r="83" spans="2:14" x14ac:dyDescent="0.25">
      <c r="B83" s="129"/>
      <c r="C83" s="130" t="s">
        <v>815</v>
      </c>
      <c r="D83" s="129"/>
      <c r="E83" s="129"/>
      <c r="F83" s="129"/>
      <c r="G83" s="129"/>
      <c r="H83" s="515"/>
      <c r="I83" s="129"/>
    </row>
    <row r="84" spans="2:14" x14ac:dyDescent="0.25">
      <c r="B84" s="129"/>
      <c r="C84" s="129"/>
      <c r="D84" s="129"/>
      <c r="E84" s="129"/>
      <c r="F84" s="129"/>
      <c r="G84" s="129"/>
      <c r="H84" s="515"/>
      <c r="I84" s="129"/>
    </row>
    <row r="85" spans="2:14" x14ac:dyDescent="0.25">
      <c r="B85" s="130" t="s">
        <v>816</v>
      </c>
      <c r="C85" s="129"/>
      <c r="D85" s="129"/>
      <c r="E85" s="129"/>
      <c r="F85" s="129"/>
      <c r="G85" s="129"/>
      <c r="H85" s="515"/>
      <c r="I85" s="129"/>
    </row>
    <row r="86" spans="2:14" x14ac:dyDescent="0.25">
      <c r="B86" s="129"/>
      <c r="C86" s="529">
        <f>+G12</f>
        <v>42000</v>
      </c>
      <c r="D86" s="529">
        <f>+G14</f>
        <v>42000</v>
      </c>
      <c r="E86" s="796">
        <v>2</v>
      </c>
      <c r="F86" s="129">
        <f>+F82</f>
        <v>1785600</v>
      </c>
      <c r="G86" s="129"/>
      <c r="H86" s="515" t="s">
        <v>812</v>
      </c>
      <c r="I86" s="794">
        <f>+ROUND(((G12-G14)*2*I78)/(1000*100),0)</f>
        <v>0</v>
      </c>
    </row>
    <row r="87" spans="2:14" x14ac:dyDescent="0.25">
      <c r="B87" s="129"/>
      <c r="C87" s="130" t="s">
        <v>817</v>
      </c>
      <c r="D87" s="129"/>
      <c r="E87" s="129"/>
      <c r="F87" s="129"/>
      <c r="G87" s="129"/>
      <c r="H87" s="515"/>
      <c r="I87" s="129"/>
    </row>
    <row r="88" spans="2:14" x14ac:dyDescent="0.25">
      <c r="B88" s="129"/>
      <c r="C88" s="129"/>
      <c r="D88" s="129"/>
      <c r="E88" s="129"/>
      <c r="F88" s="129"/>
      <c r="G88" s="129"/>
      <c r="H88" s="515"/>
      <c r="I88" s="129"/>
    </row>
    <row r="89" spans="2:14" x14ac:dyDescent="0.25">
      <c r="B89" t="str">
        <f>RAM!O55</f>
        <v>E) Deduct for staging below 10 Mts by .05 Paise per Lt</v>
      </c>
      <c r="C89" s="129"/>
      <c r="D89" s="129"/>
      <c r="E89" s="129"/>
      <c r="F89" s="129"/>
      <c r="G89" s="129"/>
      <c r="H89" s="515" t="s">
        <v>812</v>
      </c>
      <c r="I89" s="1791">
        <f>RAM!T55</f>
        <v>1200.0000000000011</v>
      </c>
    </row>
    <row r="90" spans="2:14" x14ac:dyDescent="0.25">
      <c r="B90" s="130"/>
      <c r="C90" s="129"/>
      <c r="D90" s="129"/>
      <c r="E90" s="129"/>
      <c r="F90" s="129"/>
      <c r="G90" s="129"/>
      <c r="H90" s="515"/>
      <c r="I90" s="129"/>
    </row>
    <row r="91" spans="2:14" x14ac:dyDescent="0.25">
      <c r="B91" s="130"/>
      <c r="C91" s="129"/>
      <c r="D91" s="129"/>
      <c r="E91" s="129"/>
      <c r="F91" s="129"/>
      <c r="G91" s="129"/>
      <c r="H91" s="515"/>
      <c r="I91" s="129"/>
    </row>
    <row r="92" spans="2:14" x14ac:dyDescent="0.25">
      <c r="B92" s="669" t="s">
        <v>818</v>
      </c>
      <c r="C92" s="129"/>
      <c r="D92" s="129"/>
      <c r="E92" s="129"/>
      <c r="F92" s="129"/>
      <c r="G92" s="129"/>
      <c r="H92" s="515"/>
      <c r="I92" s="233"/>
    </row>
    <row r="93" spans="2:14" x14ac:dyDescent="0.25">
      <c r="B93" s="130"/>
      <c r="C93" s="531">
        <f>+I62</f>
        <v>104.18</v>
      </c>
      <c r="D93" s="531">
        <v>350</v>
      </c>
      <c r="E93" s="529">
        <v>5</v>
      </c>
      <c r="F93" s="129">
        <f>+I78</f>
        <v>1785600</v>
      </c>
      <c r="G93" s="129"/>
      <c r="H93" s="515" t="s">
        <v>812</v>
      </c>
      <c r="I93" s="794">
        <f>+ROUND(((-350+I62)*5*I78)/(100*100),0)</f>
        <v>-219468</v>
      </c>
      <c r="L93" s="378"/>
    </row>
    <row r="94" spans="2:14" x14ac:dyDescent="0.25">
      <c r="B94" s="129"/>
      <c r="C94" s="130" t="s">
        <v>815</v>
      </c>
      <c r="D94" s="129"/>
      <c r="E94" s="129"/>
      <c r="F94" s="129"/>
      <c r="G94" s="129"/>
      <c r="H94" s="515"/>
      <c r="I94" s="129"/>
      <c r="N94" s="1585">
        <f>'VC 80'!L23</f>
        <v>12221</v>
      </c>
    </row>
    <row r="95" spans="2:14" x14ac:dyDescent="0.25">
      <c r="B95" s="536" t="s">
        <v>1957</v>
      </c>
      <c r="C95" s="129"/>
      <c r="D95" s="129"/>
      <c r="E95" s="129"/>
      <c r="F95" s="129"/>
      <c r="G95" s="129"/>
      <c r="H95" s="515" t="s">
        <v>812</v>
      </c>
      <c r="I95" s="794">
        <f>G54</f>
        <v>97952</v>
      </c>
      <c r="K95" s="154"/>
      <c r="M95" s="154"/>
      <c r="N95" s="1585">
        <f>'VC 200'!L23</f>
        <v>16533</v>
      </c>
    </row>
    <row r="96" spans="2:14" x14ac:dyDescent="0.25">
      <c r="B96" s="129"/>
      <c r="C96" s="129"/>
      <c r="D96" s="129"/>
      <c r="E96" s="129"/>
      <c r="F96" s="129"/>
      <c r="G96" s="129"/>
      <c r="H96" s="515"/>
      <c r="I96" s="129"/>
      <c r="N96">
        <f>N95*2+N94</f>
        <v>45287</v>
      </c>
    </row>
    <row r="97" spans="2:24" x14ac:dyDescent="0.25">
      <c r="B97" s="130" t="s">
        <v>1958</v>
      </c>
      <c r="C97" s="129"/>
      <c r="D97" s="129"/>
      <c r="E97" s="129"/>
      <c r="F97" s="526" t="s">
        <v>820</v>
      </c>
      <c r="G97" s="129"/>
      <c r="H97" s="515" t="s">
        <v>812</v>
      </c>
      <c r="I97" s="794">
        <f>+G55</f>
        <v>29937</v>
      </c>
    </row>
    <row r="98" spans="2:24" x14ac:dyDescent="0.25">
      <c r="F98" s="515"/>
      <c r="G98" s="129"/>
      <c r="H98" s="515"/>
      <c r="I98" s="129"/>
      <c r="O98" s="920"/>
      <c r="P98" s="920"/>
      <c r="Q98" s="920"/>
    </row>
    <row r="99" spans="2:24" x14ac:dyDescent="0.25">
      <c r="B99" s="129" t="s">
        <v>821</v>
      </c>
      <c r="C99" s="129"/>
      <c r="D99" s="129"/>
      <c r="E99" s="129"/>
      <c r="F99" s="526" t="s">
        <v>820</v>
      </c>
      <c r="G99" s="129"/>
      <c r="H99" s="515" t="s">
        <v>812</v>
      </c>
      <c r="I99" s="794">
        <f>N96</f>
        <v>45287</v>
      </c>
      <c r="O99" s="1659">
        <f>SUM(I78:I98)</f>
        <v>1695221</v>
      </c>
      <c r="P99" s="1660" t="s">
        <v>1959</v>
      </c>
      <c r="Q99" s="920"/>
    </row>
    <row r="100" spans="2:24" x14ac:dyDescent="0.25">
      <c r="B100" s="552" t="s">
        <v>309</v>
      </c>
      <c r="C100" s="1963">
        <f>N94</f>
        <v>12221</v>
      </c>
      <c r="D100" s="552" t="s">
        <v>100</v>
      </c>
      <c r="E100" s="1963">
        <f>N95</f>
        <v>16533</v>
      </c>
      <c r="F100" s="130"/>
      <c r="G100" s="129"/>
      <c r="H100" s="515" t="s">
        <v>23</v>
      </c>
      <c r="I100" s="794">
        <f>ROUND(SUM(I78:I99),0)</f>
        <v>1740508</v>
      </c>
      <c r="O100" s="1661" t="s">
        <v>1960</v>
      </c>
      <c r="P100" s="1661"/>
      <c r="Q100" s="1661"/>
      <c r="R100" s="1661"/>
    </row>
    <row r="101" spans="2:24" x14ac:dyDescent="0.25">
      <c r="B101" s="798" t="s">
        <v>2108</v>
      </c>
      <c r="C101" s="129"/>
      <c r="D101" s="129"/>
      <c r="E101" s="129"/>
      <c r="F101" s="1947">
        <f>Data!I5</f>
        <v>0.13614999999999999</v>
      </c>
      <c r="G101" s="129"/>
      <c r="H101" s="515"/>
      <c r="I101" s="794">
        <f>+ROUND(O99*F101,0)</f>
        <v>230804</v>
      </c>
    </row>
    <row r="102" spans="2:24" x14ac:dyDescent="0.25">
      <c r="B102" s="798"/>
      <c r="C102" s="129"/>
      <c r="D102" s="129"/>
      <c r="E102" s="129"/>
      <c r="F102" s="1662"/>
      <c r="G102" s="129"/>
      <c r="H102" s="515"/>
      <c r="I102" s="233"/>
    </row>
    <row r="103" spans="2:24" x14ac:dyDescent="0.25">
      <c r="B103" s="130" t="s">
        <v>823</v>
      </c>
      <c r="C103" s="129"/>
      <c r="D103" s="129"/>
      <c r="E103" s="129"/>
      <c r="F103" s="129"/>
      <c r="G103" s="129"/>
      <c r="H103" s="451" t="s">
        <v>812</v>
      </c>
      <c r="I103" s="794">
        <f>+I105-SUM(I100:I101)</f>
        <v>8688</v>
      </c>
    </row>
    <row r="104" spans="2:24" x14ac:dyDescent="0.25">
      <c r="B104" s="130"/>
      <c r="C104" s="129"/>
      <c r="D104" s="129"/>
      <c r="E104" s="129"/>
      <c r="F104" s="129"/>
      <c r="G104" s="129"/>
      <c r="H104" s="451"/>
      <c r="I104" s="557"/>
    </row>
    <row r="105" spans="2:24" x14ac:dyDescent="0.25">
      <c r="B105" s="129"/>
      <c r="C105" s="129"/>
      <c r="D105" s="129"/>
      <c r="E105" s="129"/>
      <c r="F105" s="139" t="s">
        <v>824</v>
      </c>
      <c r="G105" s="129"/>
      <c r="H105" s="515"/>
      <c r="I105" s="1663">
        <f>((INT(SUM(I100:I101)*0.0001))*10000)+10000</f>
        <v>1980000</v>
      </c>
      <c r="K105" s="378"/>
      <c r="L105" s="154">
        <f>I105-I103</f>
        <v>1971312</v>
      </c>
      <c r="V105" s="779" t="s">
        <v>135</v>
      </c>
      <c r="W105" s="799" t="s">
        <v>825</v>
      </c>
      <c r="X105" s="800"/>
    </row>
    <row r="106" spans="2:24" x14ac:dyDescent="0.25">
      <c r="B106" s="129"/>
      <c r="C106" s="129"/>
      <c r="D106" s="129"/>
      <c r="E106" s="129"/>
      <c r="F106" s="129"/>
      <c r="G106" s="129"/>
      <c r="H106" s="129"/>
      <c r="I106" s="129"/>
      <c r="V106" s="801">
        <v>0.9</v>
      </c>
      <c r="W106" s="802">
        <f>+G6*IF($G$9="Yes",0.8,1)</f>
        <v>12221</v>
      </c>
      <c r="X106" s="803">
        <v>150</v>
      </c>
    </row>
    <row r="107" spans="2:24" x14ac:dyDescent="0.25">
      <c r="B107" s="129"/>
      <c r="C107" s="129"/>
      <c r="D107" s="804" t="s">
        <v>826</v>
      </c>
      <c r="E107" s="1664">
        <f>+(I105-I103)/C63</f>
        <v>32.855200000000004</v>
      </c>
      <c r="F107" s="129"/>
      <c r="G107" s="129"/>
      <c r="H107" s="129"/>
      <c r="I107" s="129"/>
      <c r="V107" s="806">
        <v>1.05</v>
      </c>
      <c r="W107" s="802">
        <f>+G7*IF($G$9="Yes",0.8,1)</f>
        <v>16533</v>
      </c>
      <c r="X107" s="807">
        <v>300</v>
      </c>
    </row>
    <row r="108" spans="2:24" x14ac:dyDescent="0.25">
      <c r="V108" s="808">
        <v>1.2</v>
      </c>
      <c r="W108" s="809">
        <f>+G8*IF($G$9="Yes",0.8,1)</f>
        <v>24878</v>
      </c>
      <c r="X108" s="810"/>
    </row>
    <row r="109" spans="2:24" x14ac:dyDescent="0.25">
      <c r="K109">
        <f>20*3</f>
        <v>60</v>
      </c>
      <c r="V109" s="217"/>
      <c r="W109" s="217"/>
      <c r="X109" s="217"/>
    </row>
    <row r="110" spans="2:24" x14ac:dyDescent="0.25">
      <c r="K110">
        <f>20+K109</f>
        <v>80</v>
      </c>
    </row>
    <row r="111" spans="2:24" x14ac:dyDescent="0.25">
      <c r="J111" s="378"/>
    </row>
  </sheetData>
  <mergeCells count="14">
    <mergeCell ref="B68:H68"/>
    <mergeCell ref="I9:J9"/>
    <mergeCell ref="I10:J10"/>
    <mergeCell ref="B64:G64"/>
    <mergeCell ref="B66:H66"/>
    <mergeCell ref="B67:H67"/>
    <mergeCell ref="B75:H75"/>
    <mergeCell ref="B76:H76"/>
    <mergeCell ref="B69:H69"/>
    <mergeCell ref="B70:H70"/>
    <mergeCell ref="B71:H71"/>
    <mergeCell ref="B72:H72"/>
    <mergeCell ref="B73:H73"/>
    <mergeCell ref="B74:H74"/>
  </mergeCells>
  <dataValidations count="2">
    <dataValidation allowBlank="1" showInputMessage="1" showErrorMessage="1" promptTitle="Wind Velocity" prompt="For Costal area Min velocity is 200 KMPH" sqref="C62 WVK983102 WLO983102 WBS983102 VRW983102 VIA983102 UYE983102 UOI983102 UEM983102 TUQ983102 TKU983102 TAY983102 SRC983102 SHG983102 RXK983102 RNO983102 RDS983102 QTW983102 QKA983102 QAE983102 PQI983102 PGM983102 OWQ983102 OMU983102 OCY983102 NTC983102 NJG983102 MZK983102 MPO983102 MFS983102 LVW983102 LMA983102 LCE983102 KSI983102 KIM983102 JYQ983102 JOU983102 JEY983102 IVC983102 ILG983102 IBK983102 HRO983102 HHS983102 GXW983102 GOA983102 GEE983102 FUI983102 FKM983102 FAQ983102 EQU983102 EGY983102 DXC983102 DNG983102 DDK983102 CTO983102 CJS983102 BZW983102 BQA983102 BGE983102 AWI983102 AMM983102 ACQ983102 SU983102 IY983102 C983102 WVK917566 WLO917566 WBS917566 VRW917566 VIA917566 UYE917566 UOI917566 UEM917566 TUQ917566 TKU917566 TAY917566 SRC917566 SHG917566 RXK917566 RNO917566 RDS917566 QTW917566 QKA917566 QAE917566 PQI917566 PGM917566 OWQ917566 OMU917566 OCY917566 NTC917566 NJG917566 MZK917566 MPO917566 MFS917566 LVW917566 LMA917566 LCE917566 KSI917566 KIM917566 JYQ917566 JOU917566 JEY917566 IVC917566 ILG917566 IBK917566 HRO917566 HHS917566 GXW917566 GOA917566 GEE917566 FUI917566 FKM917566 FAQ917566 EQU917566 EGY917566 DXC917566 DNG917566 DDK917566 CTO917566 CJS917566 BZW917566 BQA917566 BGE917566 AWI917566 AMM917566 ACQ917566 SU917566 IY917566 C917566 WVK852030 WLO852030 WBS852030 VRW852030 VIA852030 UYE852030 UOI852030 UEM852030 TUQ852030 TKU852030 TAY852030 SRC852030 SHG852030 RXK852030 RNO852030 RDS852030 QTW852030 QKA852030 QAE852030 PQI852030 PGM852030 OWQ852030 OMU852030 OCY852030 NTC852030 NJG852030 MZK852030 MPO852030 MFS852030 LVW852030 LMA852030 LCE852030 KSI852030 KIM852030 JYQ852030 JOU852030 JEY852030 IVC852030 ILG852030 IBK852030 HRO852030 HHS852030 GXW852030 GOA852030 GEE852030 FUI852030 FKM852030 FAQ852030 EQU852030 EGY852030 DXC852030 DNG852030 DDK852030 CTO852030 CJS852030 BZW852030 BQA852030 BGE852030 AWI852030 AMM852030 ACQ852030 SU852030 IY852030 C852030 WVK786494 WLO786494 WBS786494 VRW786494 VIA786494 UYE786494 UOI786494 UEM786494 TUQ786494 TKU786494 TAY786494 SRC786494 SHG786494 RXK786494 RNO786494 RDS786494 QTW786494 QKA786494 QAE786494 PQI786494 PGM786494 OWQ786494 OMU786494 OCY786494 NTC786494 NJG786494 MZK786494 MPO786494 MFS786494 LVW786494 LMA786494 LCE786494 KSI786494 KIM786494 JYQ786494 JOU786494 JEY786494 IVC786494 ILG786494 IBK786494 HRO786494 HHS786494 GXW786494 GOA786494 GEE786494 FUI786494 FKM786494 FAQ786494 EQU786494 EGY786494 DXC786494 DNG786494 DDK786494 CTO786494 CJS786494 BZW786494 BQA786494 BGE786494 AWI786494 AMM786494 ACQ786494 SU786494 IY786494 C786494 WVK720958 WLO720958 WBS720958 VRW720958 VIA720958 UYE720958 UOI720958 UEM720958 TUQ720958 TKU720958 TAY720958 SRC720958 SHG720958 RXK720958 RNO720958 RDS720958 QTW720958 QKA720958 QAE720958 PQI720958 PGM720958 OWQ720958 OMU720958 OCY720958 NTC720958 NJG720958 MZK720958 MPO720958 MFS720958 LVW720958 LMA720958 LCE720958 KSI720958 KIM720958 JYQ720958 JOU720958 JEY720958 IVC720958 ILG720958 IBK720958 HRO720958 HHS720958 GXW720958 GOA720958 GEE720958 FUI720958 FKM720958 FAQ720958 EQU720958 EGY720958 DXC720958 DNG720958 DDK720958 CTO720958 CJS720958 BZW720958 BQA720958 BGE720958 AWI720958 AMM720958 ACQ720958 SU720958 IY720958 C720958 WVK655422 WLO655422 WBS655422 VRW655422 VIA655422 UYE655422 UOI655422 UEM655422 TUQ655422 TKU655422 TAY655422 SRC655422 SHG655422 RXK655422 RNO655422 RDS655422 QTW655422 QKA655422 QAE655422 PQI655422 PGM655422 OWQ655422 OMU655422 OCY655422 NTC655422 NJG655422 MZK655422 MPO655422 MFS655422 LVW655422 LMA655422 LCE655422 KSI655422 KIM655422 JYQ655422 JOU655422 JEY655422 IVC655422 ILG655422 IBK655422 HRO655422 HHS655422 GXW655422 GOA655422 GEE655422 FUI655422 FKM655422 FAQ655422 EQU655422 EGY655422 DXC655422 DNG655422 DDK655422 CTO655422 CJS655422 BZW655422 BQA655422 BGE655422 AWI655422 AMM655422 ACQ655422 SU655422 IY655422 C655422 WVK589886 WLO589886 WBS589886 VRW589886 VIA589886 UYE589886 UOI589886 UEM589886 TUQ589886 TKU589886 TAY589886 SRC589886 SHG589886 RXK589886 RNO589886 RDS589886 QTW589886 QKA589886 QAE589886 PQI589886 PGM589886 OWQ589886 OMU589886 OCY589886 NTC589886 NJG589886 MZK589886 MPO589886 MFS589886 LVW589886 LMA589886 LCE589886 KSI589886 KIM589886 JYQ589886 JOU589886 JEY589886 IVC589886 ILG589886 IBK589886 HRO589886 HHS589886 GXW589886 GOA589886 GEE589886 FUI589886 FKM589886 FAQ589886 EQU589886 EGY589886 DXC589886 DNG589886 DDK589886 CTO589886 CJS589886 BZW589886 BQA589886 BGE589886 AWI589886 AMM589886 ACQ589886 SU589886 IY589886 C589886 WVK524350 WLO524350 WBS524350 VRW524350 VIA524350 UYE524350 UOI524350 UEM524350 TUQ524350 TKU524350 TAY524350 SRC524350 SHG524350 RXK524350 RNO524350 RDS524350 QTW524350 QKA524350 QAE524350 PQI524350 PGM524350 OWQ524350 OMU524350 OCY524350 NTC524350 NJG524350 MZK524350 MPO524350 MFS524350 LVW524350 LMA524350 LCE524350 KSI524350 KIM524350 JYQ524350 JOU524350 JEY524350 IVC524350 ILG524350 IBK524350 HRO524350 HHS524350 GXW524350 GOA524350 GEE524350 FUI524350 FKM524350 FAQ524350 EQU524350 EGY524350 DXC524350 DNG524350 DDK524350 CTO524350 CJS524350 BZW524350 BQA524350 BGE524350 AWI524350 AMM524350 ACQ524350 SU524350 IY524350 C524350 WVK458814 WLO458814 WBS458814 VRW458814 VIA458814 UYE458814 UOI458814 UEM458814 TUQ458814 TKU458814 TAY458814 SRC458814 SHG458814 RXK458814 RNO458814 RDS458814 QTW458814 QKA458814 QAE458814 PQI458814 PGM458814 OWQ458814 OMU458814 OCY458814 NTC458814 NJG458814 MZK458814 MPO458814 MFS458814 LVW458814 LMA458814 LCE458814 KSI458814 KIM458814 JYQ458814 JOU458814 JEY458814 IVC458814 ILG458814 IBK458814 HRO458814 HHS458814 GXW458814 GOA458814 GEE458814 FUI458814 FKM458814 FAQ458814 EQU458814 EGY458814 DXC458814 DNG458814 DDK458814 CTO458814 CJS458814 BZW458814 BQA458814 BGE458814 AWI458814 AMM458814 ACQ458814 SU458814 IY458814 C458814 WVK393278 WLO393278 WBS393278 VRW393278 VIA393278 UYE393278 UOI393278 UEM393278 TUQ393278 TKU393278 TAY393278 SRC393278 SHG393278 RXK393278 RNO393278 RDS393278 QTW393278 QKA393278 QAE393278 PQI393278 PGM393278 OWQ393278 OMU393278 OCY393278 NTC393278 NJG393278 MZK393278 MPO393278 MFS393278 LVW393278 LMA393278 LCE393278 KSI393278 KIM393278 JYQ393278 JOU393278 JEY393278 IVC393278 ILG393278 IBK393278 HRO393278 HHS393278 GXW393278 GOA393278 GEE393278 FUI393278 FKM393278 FAQ393278 EQU393278 EGY393278 DXC393278 DNG393278 DDK393278 CTO393278 CJS393278 BZW393278 BQA393278 BGE393278 AWI393278 AMM393278 ACQ393278 SU393278 IY393278 C393278 WVK327742 WLO327742 WBS327742 VRW327742 VIA327742 UYE327742 UOI327742 UEM327742 TUQ327742 TKU327742 TAY327742 SRC327742 SHG327742 RXK327742 RNO327742 RDS327742 QTW327742 QKA327742 QAE327742 PQI327742 PGM327742 OWQ327742 OMU327742 OCY327742 NTC327742 NJG327742 MZK327742 MPO327742 MFS327742 LVW327742 LMA327742 LCE327742 KSI327742 KIM327742 JYQ327742 JOU327742 JEY327742 IVC327742 ILG327742 IBK327742 HRO327742 HHS327742 GXW327742 GOA327742 GEE327742 FUI327742 FKM327742 FAQ327742 EQU327742 EGY327742 DXC327742 DNG327742 DDK327742 CTO327742 CJS327742 BZW327742 BQA327742 BGE327742 AWI327742 AMM327742 ACQ327742 SU327742 IY327742 C327742 WVK262206 WLO262206 WBS262206 VRW262206 VIA262206 UYE262206 UOI262206 UEM262206 TUQ262206 TKU262206 TAY262206 SRC262206 SHG262206 RXK262206 RNO262206 RDS262206 QTW262206 QKA262206 QAE262206 PQI262206 PGM262206 OWQ262206 OMU262206 OCY262206 NTC262206 NJG262206 MZK262206 MPO262206 MFS262206 LVW262206 LMA262206 LCE262206 KSI262206 KIM262206 JYQ262206 JOU262206 JEY262206 IVC262206 ILG262206 IBK262206 HRO262206 HHS262206 GXW262206 GOA262206 GEE262206 FUI262206 FKM262206 FAQ262206 EQU262206 EGY262206 DXC262206 DNG262206 DDK262206 CTO262206 CJS262206 BZW262206 BQA262206 BGE262206 AWI262206 AMM262206 ACQ262206 SU262206 IY262206 C262206 WVK196670 WLO196670 WBS196670 VRW196670 VIA196670 UYE196670 UOI196670 UEM196670 TUQ196670 TKU196670 TAY196670 SRC196670 SHG196670 RXK196670 RNO196670 RDS196670 QTW196670 QKA196670 QAE196670 PQI196670 PGM196670 OWQ196670 OMU196670 OCY196670 NTC196670 NJG196670 MZK196670 MPO196670 MFS196670 LVW196670 LMA196670 LCE196670 KSI196670 KIM196670 JYQ196670 JOU196670 JEY196670 IVC196670 ILG196670 IBK196670 HRO196670 HHS196670 GXW196670 GOA196670 GEE196670 FUI196670 FKM196670 FAQ196670 EQU196670 EGY196670 DXC196670 DNG196670 DDK196670 CTO196670 CJS196670 BZW196670 BQA196670 BGE196670 AWI196670 AMM196670 ACQ196670 SU196670 IY196670 C196670 WVK131134 WLO131134 WBS131134 VRW131134 VIA131134 UYE131134 UOI131134 UEM131134 TUQ131134 TKU131134 TAY131134 SRC131134 SHG131134 RXK131134 RNO131134 RDS131134 QTW131134 QKA131134 QAE131134 PQI131134 PGM131134 OWQ131134 OMU131134 OCY131134 NTC131134 NJG131134 MZK131134 MPO131134 MFS131134 LVW131134 LMA131134 LCE131134 KSI131134 KIM131134 JYQ131134 JOU131134 JEY131134 IVC131134 ILG131134 IBK131134 HRO131134 HHS131134 GXW131134 GOA131134 GEE131134 FUI131134 FKM131134 FAQ131134 EQU131134 EGY131134 DXC131134 DNG131134 DDK131134 CTO131134 CJS131134 BZW131134 BQA131134 BGE131134 AWI131134 AMM131134 ACQ131134 SU131134 IY131134 C131134 WVK65598 WLO65598 WBS65598 VRW65598 VIA65598 UYE65598 UOI65598 UEM65598 TUQ65598 TKU65598 TAY65598 SRC65598 SHG65598 RXK65598 RNO65598 RDS65598 QTW65598 QKA65598 QAE65598 PQI65598 PGM65598 OWQ65598 OMU65598 OCY65598 NTC65598 NJG65598 MZK65598 MPO65598 MFS65598 LVW65598 LMA65598 LCE65598 KSI65598 KIM65598 JYQ65598 JOU65598 JEY65598 IVC65598 ILG65598 IBK65598 HRO65598 HHS65598 GXW65598 GOA65598 GEE65598 FUI65598 FKM65598 FAQ65598 EQU65598 EGY65598 DXC65598 DNG65598 DDK65598 CTO65598 CJS65598 BZW65598 BQA65598 BGE65598 AWI65598 AMM65598 ACQ65598 SU65598 IY65598 C65598 WVK62 WLO62 WBS62 VRW62 VIA62 UYE62 UOI62 UEM62 TUQ62 TKU62 TAY62 SRC62 SHG62 RXK62 RNO62 RDS62 QTW62 QKA62 QAE62 PQI62 PGM62 OWQ62 OMU62 OCY62 NTC62 NJG62 MZK62 MPO62 MFS62 LVW62 LMA62 LCE62 KSI62 KIM62 JYQ62 JOU62 JEY62 IVC62 ILG62 IBK62 HRO62 HHS62 GXW62 GOA62 GEE62 FUI62 FKM62 FAQ62 EQU62 EGY62 DXC62 DNG62 DDK62 CTO62 CJS62 BZW62 BQA62 BGE62 AWI62 AMM62 ACQ62 SU62 IY62"/>
    <dataValidation errorStyle="information" allowBlank="1" showInputMessage="1" showErrorMessage="1" errorTitle="Wind Velocity" error="Enter Wind Velocity in &quot;C62&quot; cell" promptTitle="Wind Velocity" prompt="Enter Wind Velocity in &quot;C62&quot; cell" sqref="G4:G5 WVO983044:WVO983045 WLS983044:WLS983045 WBW983044:WBW983045 VSA983044:VSA983045 VIE983044:VIE983045 UYI983044:UYI983045 UOM983044:UOM983045 UEQ983044:UEQ983045 TUU983044:TUU983045 TKY983044:TKY983045 TBC983044:TBC983045 SRG983044:SRG983045 SHK983044:SHK983045 RXO983044:RXO983045 RNS983044:RNS983045 RDW983044:RDW983045 QUA983044:QUA983045 QKE983044:QKE983045 QAI983044:QAI983045 PQM983044:PQM983045 PGQ983044:PGQ983045 OWU983044:OWU983045 OMY983044:OMY983045 ODC983044:ODC983045 NTG983044:NTG983045 NJK983044:NJK983045 MZO983044:MZO983045 MPS983044:MPS983045 MFW983044:MFW983045 LWA983044:LWA983045 LME983044:LME983045 LCI983044:LCI983045 KSM983044:KSM983045 KIQ983044:KIQ983045 JYU983044:JYU983045 JOY983044:JOY983045 JFC983044:JFC983045 IVG983044:IVG983045 ILK983044:ILK983045 IBO983044:IBO983045 HRS983044:HRS983045 HHW983044:HHW983045 GYA983044:GYA983045 GOE983044:GOE983045 GEI983044:GEI983045 FUM983044:FUM983045 FKQ983044:FKQ983045 FAU983044:FAU983045 EQY983044:EQY983045 EHC983044:EHC983045 DXG983044:DXG983045 DNK983044:DNK983045 DDO983044:DDO983045 CTS983044:CTS983045 CJW983044:CJW983045 CAA983044:CAA983045 BQE983044:BQE983045 BGI983044:BGI983045 AWM983044:AWM983045 AMQ983044:AMQ983045 ACU983044:ACU983045 SY983044:SY983045 JC983044:JC983045 G983044:G983045 WVO917508:WVO917509 WLS917508:WLS917509 WBW917508:WBW917509 VSA917508:VSA917509 VIE917508:VIE917509 UYI917508:UYI917509 UOM917508:UOM917509 UEQ917508:UEQ917509 TUU917508:TUU917509 TKY917508:TKY917509 TBC917508:TBC917509 SRG917508:SRG917509 SHK917508:SHK917509 RXO917508:RXO917509 RNS917508:RNS917509 RDW917508:RDW917509 QUA917508:QUA917509 QKE917508:QKE917509 QAI917508:QAI917509 PQM917508:PQM917509 PGQ917508:PGQ917509 OWU917508:OWU917509 OMY917508:OMY917509 ODC917508:ODC917509 NTG917508:NTG917509 NJK917508:NJK917509 MZO917508:MZO917509 MPS917508:MPS917509 MFW917508:MFW917509 LWA917508:LWA917509 LME917508:LME917509 LCI917508:LCI917509 KSM917508:KSM917509 KIQ917508:KIQ917509 JYU917508:JYU917509 JOY917508:JOY917509 JFC917508:JFC917509 IVG917508:IVG917509 ILK917508:ILK917509 IBO917508:IBO917509 HRS917508:HRS917509 HHW917508:HHW917509 GYA917508:GYA917509 GOE917508:GOE917509 GEI917508:GEI917509 FUM917508:FUM917509 FKQ917508:FKQ917509 FAU917508:FAU917509 EQY917508:EQY917509 EHC917508:EHC917509 DXG917508:DXG917509 DNK917508:DNK917509 DDO917508:DDO917509 CTS917508:CTS917509 CJW917508:CJW917509 CAA917508:CAA917509 BQE917508:BQE917509 BGI917508:BGI917509 AWM917508:AWM917509 AMQ917508:AMQ917509 ACU917508:ACU917509 SY917508:SY917509 JC917508:JC917509 G917508:G917509 WVO851972:WVO851973 WLS851972:WLS851973 WBW851972:WBW851973 VSA851972:VSA851973 VIE851972:VIE851973 UYI851972:UYI851973 UOM851972:UOM851973 UEQ851972:UEQ851973 TUU851972:TUU851973 TKY851972:TKY851973 TBC851972:TBC851973 SRG851972:SRG851973 SHK851972:SHK851973 RXO851972:RXO851973 RNS851972:RNS851973 RDW851972:RDW851973 QUA851972:QUA851973 QKE851972:QKE851973 QAI851972:QAI851973 PQM851972:PQM851973 PGQ851972:PGQ851973 OWU851972:OWU851973 OMY851972:OMY851973 ODC851972:ODC851973 NTG851972:NTG851973 NJK851972:NJK851973 MZO851972:MZO851973 MPS851972:MPS851973 MFW851972:MFW851973 LWA851972:LWA851973 LME851972:LME851973 LCI851972:LCI851973 KSM851972:KSM851973 KIQ851972:KIQ851973 JYU851972:JYU851973 JOY851972:JOY851973 JFC851972:JFC851973 IVG851972:IVG851973 ILK851972:ILK851973 IBO851972:IBO851973 HRS851972:HRS851973 HHW851972:HHW851973 GYA851972:GYA851973 GOE851972:GOE851973 GEI851972:GEI851973 FUM851972:FUM851973 FKQ851972:FKQ851973 FAU851972:FAU851973 EQY851972:EQY851973 EHC851972:EHC851973 DXG851972:DXG851973 DNK851972:DNK851973 DDO851972:DDO851973 CTS851972:CTS851973 CJW851972:CJW851973 CAA851972:CAA851973 BQE851972:BQE851973 BGI851972:BGI851973 AWM851972:AWM851973 AMQ851972:AMQ851973 ACU851972:ACU851973 SY851972:SY851973 JC851972:JC851973 G851972:G851973 WVO786436:WVO786437 WLS786436:WLS786437 WBW786436:WBW786437 VSA786436:VSA786437 VIE786436:VIE786437 UYI786436:UYI786437 UOM786436:UOM786437 UEQ786436:UEQ786437 TUU786436:TUU786437 TKY786436:TKY786437 TBC786436:TBC786437 SRG786436:SRG786437 SHK786436:SHK786437 RXO786436:RXO786437 RNS786436:RNS786437 RDW786436:RDW786437 QUA786436:QUA786437 QKE786436:QKE786437 QAI786436:QAI786437 PQM786436:PQM786437 PGQ786436:PGQ786437 OWU786436:OWU786437 OMY786436:OMY786437 ODC786436:ODC786437 NTG786436:NTG786437 NJK786436:NJK786437 MZO786436:MZO786437 MPS786436:MPS786437 MFW786436:MFW786437 LWA786436:LWA786437 LME786436:LME786437 LCI786436:LCI786437 KSM786436:KSM786437 KIQ786436:KIQ786437 JYU786436:JYU786437 JOY786436:JOY786437 JFC786436:JFC786437 IVG786436:IVG786437 ILK786436:ILK786437 IBO786436:IBO786437 HRS786436:HRS786437 HHW786436:HHW786437 GYA786436:GYA786437 GOE786436:GOE786437 GEI786436:GEI786437 FUM786436:FUM786437 FKQ786436:FKQ786437 FAU786436:FAU786437 EQY786436:EQY786437 EHC786436:EHC786437 DXG786436:DXG786437 DNK786436:DNK786437 DDO786436:DDO786437 CTS786436:CTS786437 CJW786436:CJW786437 CAA786436:CAA786437 BQE786436:BQE786437 BGI786436:BGI786437 AWM786436:AWM786437 AMQ786436:AMQ786437 ACU786436:ACU786437 SY786436:SY786437 JC786436:JC786437 G786436:G786437 WVO720900:WVO720901 WLS720900:WLS720901 WBW720900:WBW720901 VSA720900:VSA720901 VIE720900:VIE720901 UYI720900:UYI720901 UOM720900:UOM720901 UEQ720900:UEQ720901 TUU720900:TUU720901 TKY720900:TKY720901 TBC720900:TBC720901 SRG720900:SRG720901 SHK720900:SHK720901 RXO720900:RXO720901 RNS720900:RNS720901 RDW720900:RDW720901 QUA720900:QUA720901 QKE720900:QKE720901 QAI720900:QAI720901 PQM720900:PQM720901 PGQ720900:PGQ720901 OWU720900:OWU720901 OMY720900:OMY720901 ODC720900:ODC720901 NTG720900:NTG720901 NJK720900:NJK720901 MZO720900:MZO720901 MPS720900:MPS720901 MFW720900:MFW720901 LWA720900:LWA720901 LME720900:LME720901 LCI720900:LCI720901 KSM720900:KSM720901 KIQ720900:KIQ720901 JYU720900:JYU720901 JOY720900:JOY720901 JFC720900:JFC720901 IVG720900:IVG720901 ILK720900:ILK720901 IBO720900:IBO720901 HRS720900:HRS720901 HHW720900:HHW720901 GYA720900:GYA720901 GOE720900:GOE720901 GEI720900:GEI720901 FUM720900:FUM720901 FKQ720900:FKQ720901 FAU720900:FAU720901 EQY720900:EQY720901 EHC720900:EHC720901 DXG720900:DXG720901 DNK720900:DNK720901 DDO720900:DDO720901 CTS720900:CTS720901 CJW720900:CJW720901 CAA720900:CAA720901 BQE720900:BQE720901 BGI720900:BGI720901 AWM720900:AWM720901 AMQ720900:AMQ720901 ACU720900:ACU720901 SY720900:SY720901 JC720900:JC720901 G720900:G720901 WVO655364:WVO655365 WLS655364:WLS655365 WBW655364:WBW655365 VSA655364:VSA655365 VIE655364:VIE655365 UYI655364:UYI655365 UOM655364:UOM655365 UEQ655364:UEQ655365 TUU655364:TUU655365 TKY655364:TKY655365 TBC655364:TBC655365 SRG655364:SRG655365 SHK655364:SHK655365 RXO655364:RXO655365 RNS655364:RNS655365 RDW655364:RDW655365 QUA655364:QUA655365 QKE655364:QKE655365 QAI655364:QAI655365 PQM655364:PQM655365 PGQ655364:PGQ655365 OWU655364:OWU655365 OMY655364:OMY655365 ODC655364:ODC655365 NTG655364:NTG655365 NJK655364:NJK655365 MZO655364:MZO655365 MPS655364:MPS655365 MFW655364:MFW655365 LWA655364:LWA655365 LME655364:LME655365 LCI655364:LCI655365 KSM655364:KSM655365 KIQ655364:KIQ655365 JYU655364:JYU655365 JOY655364:JOY655365 JFC655364:JFC655365 IVG655364:IVG655365 ILK655364:ILK655365 IBO655364:IBO655365 HRS655364:HRS655365 HHW655364:HHW655365 GYA655364:GYA655365 GOE655364:GOE655365 GEI655364:GEI655365 FUM655364:FUM655365 FKQ655364:FKQ655365 FAU655364:FAU655365 EQY655364:EQY655365 EHC655364:EHC655365 DXG655364:DXG655365 DNK655364:DNK655365 DDO655364:DDO655365 CTS655364:CTS655365 CJW655364:CJW655365 CAA655364:CAA655365 BQE655364:BQE655365 BGI655364:BGI655365 AWM655364:AWM655365 AMQ655364:AMQ655365 ACU655364:ACU655365 SY655364:SY655365 JC655364:JC655365 G655364:G655365 WVO589828:WVO589829 WLS589828:WLS589829 WBW589828:WBW589829 VSA589828:VSA589829 VIE589828:VIE589829 UYI589828:UYI589829 UOM589828:UOM589829 UEQ589828:UEQ589829 TUU589828:TUU589829 TKY589828:TKY589829 TBC589828:TBC589829 SRG589828:SRG589829 SHK589828:SHK589829 RXO589828:RXO589829 RNS589828:RNS589829 RDW589828:RDW589829 QUA589828:QUA589829 QKE589828:QKE589829 QAI589828:QAI589829 PQM589828:PQM589829 PGQ589828:PGQ589829 OWU589828:OWU589829 OMY589828:OMY589829 ODC589828:ODC589829 NTG589828:NTG589829 NJK589828:NJK589829 MZO589828:MZO589829 MPS589828:MPS589829 MFW589828:MFW589829 LWA589828:LWA589829 LME589828:LME589829 LCI589828:LCI589829 KSM589828:KSM589829 KIQ589828:KIQ589829 JYU589828:JYU589829 JOY589828:JOY589829 JFC589828:JFC589829 IVG589828:IVG589829 ILK589828:ILK589829 IBO589828:IBO589829 HRS589828:HRS589829 HHW589828:HHW589829 GYA589828:GYA589829 GOE589828:GOE589829 GEI589828:GEI589829 FUM589828:FUM589829 FKQ589828:FKQ589829 FAU589828:FAU589829 EQY589828:EQY589829 EHC589828:EHC589829 DXG589828:DXG589829 DNK589828:DNK589829 DDO589828:DDO589829 CTS589828:CTS589829 CJW589828:CJW589829 CAA589828:CAA589829 BQE589828:BQE589829 BGI589828:BGI589829 AWM589828:AWM589829 AMQ589828:AMQ589829 ACU589828:ACU589829 SY589828:SY589829 JC589828:JC589829 G589828:G589829 WVO524292:WVO524293 WLS524292:WLS524293 WBW524292:WBW524293 VSA524292:VSA524293 VIE524292:VIE524293 UYI524292:UYI524293 UOM524292:UOM524293 UEQ524292:UEQ524293 TUU524292:TUU524293 TKY524292:TKY524293 TBC524292:TBC524293 SRG524292:SRG524293 SHK524292:SHK524293 RXO524292:RXO524293 RNS524292:RNS524293 RDW524292:RDW524293 QUA524292:QUA524293 QKE524292:QKE524293 QAI524292:QAI524293 PQM524292:PQM524293 PGQ524292:PGQ524293 OWU524292:OWU524293 OMY524292:OMY524293 ODC524292:ODC524293 NTG524292:NTG524293 NJK524292:NJK524293 MZO524292:MZO524293 MPS524292:MPS524293 MFW524292:MFW524293 LWA524292:LWA524293 LME524292:LME524293 LCI524292:LCI524293 KSM524292:KSM524293 KIQ524292:KIQ524293 JYU524292:JYU524293 JOY524292:JOY524293 JFC524292:JFC524293 IVG524292:IVG524293 ILK524292:ILK524293 IBO524292:IBO524293 HRS524292:HRS524293 HHW524292:HHW524293 GYA524292:GYA524293 GOE524292:GOE524293 GEI524292:GEI524293 FUM524292:FUM524293 FKQ524292:FKQ524293 FAU524292:FAU524293 EQY524292:EQY524293 EHC524292:EHC524293 DXG524292:DXG524293 DNK524292:DNK524293 DDO524292:DDO524293 CTS524292:CTS524293 CJW524292:CJW524293 CAA524292:CAA524293 BQE524292:BQE524293 BGI524292:BGI524293 AWM524292:AWM524293 AMQ524292:AMQ524293 ACU524292:ACU524293 SY524292:SY524293 JC524292:JC524293 G524292:G524293 WVO458756:WVO458757 WLS458756:WLS458757 WBW458756:WBW458757 VSA458756:VSA458757 VIE458756:VIE458757 UYI458756:UYI458757 UOM458756:UOM458757 UEQ458756:UEQ458757 TUU458756:TUU458757 TKY458756:TKY458757 TBC458756:TBC458757 SRG458756:SRG458757 SHK458756:SHK458757 RXO458756:RXO458757 RNS458756:RNS458757 RDW458756:RDW458757 QUA458756:QUA458757 QKE458756:QKE458757 QAI458756:QAI458757 PQM458756:PQM458757 PGQ458756:PGQ458757 OWU458756:OWU458757 OMY458756:OMY458757 ODC458756:ODC458757 NTG458756:NTG458757 NJK458756:NJK458757 MZO458756:MZO458757 MPS458756:MPS458757 MFW458756:MFW458757 LWA458756:LWA458757 LME458756:LME458757 LCI458756:LCI458757 KSM458756:KSM458757 KIQ458756:KIQ458757 JYU458756:JYU458757 JOY458756:JOY458757 JFC458756:JFC458757 IVG458756:IVG458757 ILK458756:ILK458757 IBO458756:IBO458757 HRS458756:HRS458757 HHW458756:HHW458757 GYA458756:GYA458757 GOE458756:GOE458757 GEI458756:GEI458757 FUM458756:FUM458757 FKQ458756:FKQ458757 FAU458756:FAU458757 EQY458756:EQY458757 EHC458756:EHC458757 DXG458756:DXG458757 DNK458756:DNK458757 DDO458756:DDO458757 CTS458756:CTS458757 CJW458756:CJW458757 CAA458756:CAA458757 BQE458756:BQE458757 BGI458756:BGI458757 AWM458756:AWM458757 AMQ458756:AMQ458757 ACU458756:ACU458757 SY458756:SY458757 JC458756:JC458757 G458756:G458757 WVO393220:WVO393221 WLS393220:WLS393221 WBW393220:WBW393221 VSA393220:VSA393221 VIE393220:VIE393221 UYI393220:UYI393221 UOM393220:UOM393221 UEQ393220:UEQ393221 TUU393220:TUU393221 TKY393220:TKY393221 TBC393220:TBC393221 SRG393220:SRG393221 SHK393220:SHK393221 RXO393220:RXO393221 RNS393220:RNS393221 RDW393220:RDW393221 QUA393220:QUA393221 QKE393220:QKE393221 QAI393220:QAI393221 PQM393220:PQM393221 PGQ393220:PGQ393221 OWU393220:OWU393221 OMY393220:OMY393221 ODC393220:ODC393221 NTG393220:NTG393221 NJK393220:NJK393221 MZO393220:MZO393221 MPS393220:MPS393221 MFW393220:MFW393221 LWA393220:LWA393221 LME393220:LME393221 LCI393220:LCI393221 KSM393220:KSM393221 KIQ393220:KIQ393221 JYU393220:JYU393221 JOY393220:JOY393221 JFC393220:JFC393221 IVG393220:IVG393221 ILK393220:ILK393221 IBO393220:IBO393221 HRS393220:HRS393221 HHW393220:HHW393221 GYA393220:GYA393221 GOE393220:GOE393221 GEI393220:GEI393221 FUM393220:FUM393221 FKQ393220:FKQ393221 FAU393220:FAU393221 EQY393220:EQY393221 EHC393220:EHC393221 DXG393220:DXG393221 DNK393220:DNK393221 DDO393220:DDO393221 CTS393220:CTS393221 CJW393220:CJW393221 CAA393220:CAA393221 BQE393220:BQE393221 BGI393220:BGI393221 AWM393220:AWM393221 AMQ393220:AMQ393221 ACU393220:ACU393221 SY393220:SY393221 JC393220:JC393221 G393220:G393221 WVO327684:WVO327685 WLS327684:WLS327685 WBW327684:WBW327685 VSA327684:VSA327685 VIE327684:VIE327685 UYI327684:UYI327685 UOM327684:UOM327685 UEQ327684:UEQ327685 TUU327684:TUU327685 TKY327684:TKY327685 TBC327684:TBC327685 SRG327684:SRG327685 SHK327684:SHK327685 RXO327684:RXO327685 RNS327684:RNS327685 RDW327684:RDW327685 QUA327684:QUA327685 QKE327684:QKE327685 QAI327684:QAI327685 PQM327684:PQM327685 PGQ327684:PGQ327685 OWU327684:OWU327685 OMY327684:OMY327685 ODC327684:ODC327685 NTG327684:NTG327685 NJK327684:NJK327685 MZO327684:MZO327685 MPS327684:MPS327685 MFW327684:MFW327685 LWA327684:LWA327685 LME327684:LME327685 LCI327684:LCI327685 KSM327684:KSM327685 KIQ327684:KIQ327685 JYU327684:JYU327685 JOY327684:JOY327685 JFC327684:JFC327685 IVG327684:IVG327685 ILK327684:ILK327685 IBO327684:IBO327685 HRS327684:HRS327685 HHW327684:HHW327685 GYA327684:GYA327685 GOE327684:GOE327685 GEI327684:GEI327685 FUM327684:FUM327685 FKQ327684:FKQ327685 FAU327684:FAU327685 EQY327684:EQY327685 EHC327684:EHC327685 DXG327684:DXG327685 DNK327684:DNK327685 DDO327684:DDO327685 CTS327684:CTS327685 CJW327684:CJW327685 CAA327684:CAA327685 BQE327684:BQE327685 BGI327684:BGI327685 AWM327684:AWM327685 AMQ327684:AMQ327685 ACU327684:ACU327685 SY327684:SY327685 JC327684:JC327685 G327684:G327685 WVO262148:WVO262149 WLS262148:WLS262149 WBW262148:WBW262149 VSA262148:VSA262149 VIE262148:VIE262149 UYI262148:UYI262149 UOM262148:UOM262149 UEQ262148:UEQ262149 TUU262148:TUU262149 TKY262148:TKY262149 TBC262148:TBC262149 SRG262148:SRG262149 SHK262148:SHK262149 RXO262148:RXO262149 RNS262148:RNS262149 RDW262148:RDW262149 QUA262148:QUA262149 QKE262148:QKE262149 QAI262148:QAI262149 PQM262148:PQM262149 PGQ262148:PGQ262149 OWU262148:OWU262149 OMY262148:OMY262149 ODC262148:ODC262149 NTG262148:NTG262149 NJK262148:NJK262149 MZO262148:MZO262149 MPS262148:MPS262149 MFW262148:MFW262149 LWA262148:LWA262149 LME262148:LME262149 LCI262148:LCI262149 KSM262148:KSM262149 KIQ262148:KIQ262149 JYU262148:JYU262149 JOY262148:JOY262149 JFC262148:JFC262149 IVG262148:IVG262149 ILK262148:ILK262149 IBO262148:IBO262149 HRS262148:HRS262149 HHW262148:HHW262149 GYA262148:GYA262149 GOE262148:GOE262149 GEI262148:GEI262149 FUM262148:FUM262149 FKQ262148:FKQ262149 FAU262148:FAU262149 EQY262148:EQY262149 EHC262148:EHC262149 DXG262148:DXG262149 DNK262148:DNK262149 DDO262148:DDO262149 CTS262148:CTS262149 CJW262148:CJW262149 CAA262148:CAA262149 BQE262148:BQE262149 BGI262148:BGI262149 AWM262148:AWM262149 AMQ262148:AMQ262149 ACU262148:ACU262149 SY262148:SY262149 JC262148:JC262149 G262148:G262149 WVO196612:WVO196613 WLS196612:WLS196613 WBW196612:WBW196613 VSA196612:VSA196613 VIE196612:VIE196613 UYI196612:UYI196613 UOM196612:UOM196613 UEQ196612:UEQ196613 TUU196612:TUU196613 TKY196612:TKY196613 TBC196612:TBC196613 SRG196612:SRG196613 SHK196612:SHK196613 RXO196612:RXO196613 RNS196612:RNS196613 RDW196612:RDW196613 QUA196612:QUA196613 QKE196612:QKE196613 QAI196612:QAI196613 PQM196612:PQM196613 PGQ196612:PGQ196613 OWU196612:OWU196613 OMY196612:OMY196613 ODC196612:ODC196613 NTG196612:NTG196613 NJK196612:NJK196613 MZO196612:MZO196613 MPS196612:MPS196613 MFW196612:MFW196613 LWA196612:LWA196613 LME196612:LME196613 LCI196612:LCI196613 KSM196612:KSM196613 KIQ196612:KIQ196613 JYU196612:JYU196613 JOY196612:JOY196613 JFC196612:JFC196613 IVG196612:IVG196613 ILK196612:ILK196613 IBO196612:IBO196613 HRS196612:HRS196613 HHW196612:HHW196613 GYA196612:GYA196613 GOE196612:GOE196613 GEI196612:GEI196613 FUM196612:FUM196613 FKQ196612:FKQ196613 FAU196612:FAU196613 EQY196612:EQY196613 EHC196612:EHC196613 DXG196612:DXG196613 DNK196612:DNK196613 DDO196612:DDO196613 CTS196612:CTS196613 CJW196612:CJW196613 CAA196612:CAA196613 BQE196612:BQE196613 BGI196612:BGI196613 AWM196612:AWM196613 AMQ196612:AMQ196613 ACU196612:ACU196613 SY196612:SY196613 JC196612:JC196613 G196612:G196613 WVO131076:WVO131077 WLS131076:WLS131077 WBW131076:WBW131077 VSA131076:VSA131077 VIE131076:VIE131077 UYI131076:UYI131077 UOM131076:UOM131077 UEQ131076:UEQ131077 TUU131076:TUU131077 TKY131076:TKY131077 TBC131076:TBC131077 SRG131076:SRG131077 SHK131076:SHK131077 RXO131076:RXO131077 RNS131076:RNS131077 RDW131076:RDW131077 QUA131076:QUA131077 QKE131076:QKE131077 QAI131076:QAI131077 PQM131076:PQM131077 PGQ131076:PGQ131077 OWU131076:OWU131077 OMY131076:OMY131077 ODC131076:ODC131077 NTG131076:NTG131077 NJK131076:NJK131077 MZO131076:MZO131077 MPS131076:MPS131077 MFW131076:MFW131077 LWA131076:LWA131077 LME131076:LME131077 LCI131076:LCI131077 KSM131076:KSM131077 KIQ131076:KIQ131077 JYU131076:JYU131077 JOY131076:JOY131077 JFC131076:JFC131077 IVG131076:IVG131077 ILK131076:ILK131077 IBO131076:IBO131077 HRS131076:HRS131077 HHW131076:HHW131077 GYA131076:GYA131077 GOE131076:GOE131077 GEI131076:GEI131077 FUM131076:FUM131077 FKQ131076:FKQ131077 FAU131076:FAU131077 EQY131076:EQY131077 EHC131076:EHC131077 DXG131076:DXG131077 DNK131076:DNK131077 DDO131076:DDO131077 CTS131076:CTS131077 CJW131076:CJW131077 CAA131076:CAA131077 BQE131076:BQE131077 BGI131076:BGI131077 AWM131076:AWM131077 AMQ131076:AMQ131077 ACU131076:ACU131077 SY131076:SY131077 JC131076:JC131077 G131076:G131077 WVO65540:WVO65541 WLS65540:WLS65541 WBW65540:WBW65541 VSA65540:VSA65541 VIE65540:VIE65541 UYI65540:UYI65541 UOM65540:UOM65541 UEQ65540:UEQ65541 TUU65540:TUU65541 TKY65540:TKY65541 TBC65540:TBC65541 SRG65540:SRG65541 SHK65540:SHK65541 RXO65540:RXO65541 RNS65540:RNS65541 RDW65540:RDW65541 QUA65540:QUA65541 QKE65540:QKE65541 QAI65540:QAI65541 PQM65540:PQM65541 PGQ65540:PGQ65541 OWU65540:OWU65541 OMY65540:OMY65541 ODC65540:ODC65541 NTG65540:NTG65541 NJK65540:NJK65541 MZO65540:MZO65541 MPS65540:MPS65541 MFW65540:MFW65541 LWA65540:LWA65541 LME65540:LME65541 LCI65540:LCI65541 KSM65540:KSM65541 KIQ65540:KIQ65541 JYU65540:JYU65541 JOY65540:JOY65541 JFC65540:JFC65541 IVG65540:IVG65541 ILK65540:ILK65541 IBO65540:IBO65541 HRS65540:HRS65541 HHW65540:HHW65541 GYA65540:GYA65541 GOE65540:GOE65541 GEI65540:GEI65541 FUM65540:FUM65541 FKQ65540:FKQ65541 FAU65540:FAU65541 EQY65540:EQY65541 EHC65540:EHC65541 DXG65540:DXG65541 DNK65540:DNK65541 DDO65540:DDO65541 CTS65540:CTS65541 CJW65540:CJW65541 CAA65540:CAA65541 BQE65540:BQE65541 BGI65540:BGI65541 AWM65540:AWM65541 AMQ65540:AMQ65541 ACU65540:ACU65541 SY65540:SY65541 JC65540:JC65541 G65540:G65541 WVO4:WVO5 WLS4:WLS5 WBW4:WBW5 VSA4:VSA5 VIE4:VIE5 UYI4:UYI5 UOM4:UOM5 UEQ4:UEQ5 TUU4:TUU5 TKY4:TKY5 TBC4:TBC5 SRG4:SRG5 SHK4:SHK5 RXO4:RXO5 RNS4:RNS5 RDW4:RDW5 QUA4:QUA5 QKE4:QKE5 QAI4:QAI5 PQM4:PQM5 PGQ4:PGQ5 OWU4:OWU5 OMY4:OMY5 ODC4:ODC5 NTG4:NTG5 NJK4:NJK5 MZO4:MZO5 MPS4:MPS5 MFW4:MFW5 LWA4:LWA5 LME4:LME5 LCI4:LCI5 KSM4:KSM5 KIQ4:KIQ5 JYU4:JYU5 JOY4:JOY5 JFC4:JFC5 IVG4:IVG5 ILK4:ILK5 IBO4:IBO5 HRS4:HRS5 HHW4:HHW5 GYA4:GYA5 GOE4:GOE5 GEI4:GEI5 FUM4:FUM5 FKQ4:FKQ5 FAU4:FAU5 EQY4:EQY5 EHC4:EHC5 DXG4:DXG5 DNK4:DNK5 DDO4:DDO5 CTS4:CTS5 CJW4:CJW5 CAA4:CAA5 BQE4:BQE5 BGI4:BGI5 AWM4:AWM5 AMQ4:AMQ5 ACU4:ACU5 SY4:SY5 JC4:JC5"/>
  </dataValidation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selection activeCell="F11" sqref="F11"/>
    </sheetView>
  </sheetViews>
  <sheetFormatPr defaultColWidth="9.140625" defaultRowHeight="15" x14ac:dyDescent="0.3"/>
  <cols>
    <col min="1" max="1" width="4.85546875" style="455" customWidth="1"/>
    <col min="2" max="2" width="29.5703125" style="455" customWidth="1"/>
    <col min="3" max="3" width="6.7109375" style="455" customWidth="1"/>
    <col min="4" max="4" width="7" style="455" customWidth="1"/>
    <col min="5" max="5" width="7.7109375" style="455" customWidth="1"/>
    <col min="6" max="6" width="7.28515625" style="455" customWidth="1"/>
    <col min="7" max="7" width="9.42578125" style="455" bestFit="1" customWidth="1"/>
    <col min="8" max="8" width="6" style="455" customWidth="1"/>
    <col min="9" max="9" width="10.140625" style="455" bestFit="1" customWidth="1"/>
    <col min="10" max="10" width="5.85546875" style="455" customWidth="1"/>
    <col min="11" max="11" width="12.5703125" style="455" customWidth="1"/>
    <col min="12" max="12" width="9.85546875" style="455" bestFit="1" customWidth="1"/>
    <col min="13" max="16384" width="9.140625" style="455"/>
  </cols>
  <sheetData>
    <row r="1" spans="1:11" ht="16.5" x14ac:dyDescent="0.3">
      <c r="A1" s="2172" t="s">
        <v>2025</v>
      </c>
      <c r="B1" s="2172"/>
      <c r="C1" s="2172"/>
      <c r="D1" s="2172"/>
      <c r="E1" s="2172"/>
      <c r="F1" s="2172"/>
      <c r="G1" s="2172"/>
      <c r="H1" s="2172"/>
      <c r="I1" s="2172"/>
      <c r="J1" s="2172"/>
      <c r="K1" s="2172"/>
    </row>
    <row r="2" spans="1:11" ht="16.5" x14ac:dyDescent="0.35">
      <c r="A2" s="2173" t="s">
        <v>2026</v>
      </c>
      <c r="B2" s="2173"/>
      <c r="C2" s="2173"/>
      <c r="D2" s="2173"/>
      <c r="E2" s="2173"/>
      <c r="F2" s="2173"/>
      <c r="G2" s="2173"/>
      <c r="H2" s="2173"/>
      <c r="I2" s="2173"/>
      <c r="J2" s="2173"/>
      <c r="K2" s="2173"/>
    </row>
    <row r="3" spans="1:11" ht="16.5" x14ac:dyDescent="0.35">
      <c r="A3" s="2173" t="s">
        <v>2027</v>
      </c>
      <c r="B3" s="2173"/>
      <c r="C3" s="2173"/>
      <c r="D3" s="2173"/>
      <c r="E3" s="2173"/>
      <c r="F3" s="2173"/>
      <c r="G3" s="2173"/>
      <c r="H3" s="2173"/>
      <c r="I3" s="2173"/>
      <c r="J3" s="2173"/>
      <c r="K3" s="2173"/>
    </row>
    <row r="5" spans="1:11" s="1794" customFormat="1" ht="16.5" x14ac:dyDescent="0.25">
      <c r="A5" s="1792" t="s">
        <v>83</v>
      </c>
      <c r="B5" s="1793" t="s">
        <v>2028</v>
      </c>
      <c r="C5" s="1793" t="s">
        <v>1262</v>
      </c>
      <c r="D5" s="1793" t="s">
        <v>342</v>
      </c>
      <c r="E5" s="1793" t="s">
        <v>343</v>
      </c>
      <c r="F5" s="1793" t="s">
        <v>344</v>
      </c>
      <c r="G5" s="1793" t="s">
        <v>512</v>
      </c>
      <c r="H5" s="1793" t="s">
        <v>1378</v>
      </c>
      <c r="I5" s="1793" t="s">
        <v>140</v>
      </c>
      <c r="J5" s="1793" t="s">
        <v>401</v>
      </c>
      <c r="K5" s="1793" t="s">
        <v>141</v>
      </c>
    </row>
    <row r="6" spans="1:11" s="1798" customFormat="1" x14ac:dyDescent="0.3">
      <c r="A6" s="1795"/>
      <c r="B6" s="1796"/>
      <c r="C6" s="1796"/>
      <c r="D6" s="1796"/>
      <c r="E6" s="1796"/>
      <c r="F6" s="1796"/>
      <c r="G6" s="1796"/>
      <c r="H6" s="1796"/>
      <c r="I6" s="1796"/>
      <c r="J6" s="1796"/>
      <c r="K6" s="1797"/>
    </row>
    <row r="7" spans="1:11" s="1798" customFormat="1" ht="78.75" customHeight="1" x14ac:dyDescent="0.3">
      <c r="A7" s="1799">
        <v>1</v>
      </c>
      <c r="B7" s="1800" t="s">
        <v>2029</v>
      </c>
      <c r="C7" s="1801" t="s">
        <v>483</v>
      </c>
      <c r="D7" s="1802">
        <f>0.9+0.1+0.1+0.2</f>
        <v>1.3</v>
      </c>
      <c r="E7" s="1802">
        <f>0.75+0.2+0.2</f>
        <v>1.1499999999999999</v>
      </c>
      <c r="F7" s="1802">
        <v>1.35</v>
      </c>
      <c r="G7" s="1803">
        <f>PRODUCT(D7:F7)</f>
        <v>2.0182500000000001</v>
      </c>
      <c r="H7" s="1803" t="s">
        <v>20</v>
      </c>
      <c r="I7" s="1804">
        <f>Data!I12</f>
        <v>158.80000000000001</v>
      </c>
      <c r="J7" s="1804" t="s">
        <v>1012</v>
      </c>
      <c r="K7" s="1891">
        <f>ROUND((G7*I7),0)</f>
        <v>320</v>
      </c>
    </row>
    <row r="8" spans="1:11" s="1798" customFormat="1" x14ac:dyDescent="0.3">
      <c r="A8" s="1799"/>
      <c r="B8" s="1803"/>
      <c r="C8" s="1801"/>
      <c r="D8" s="1802"/>
      <c r="E8" s="1802"/>
      <c r="F8" s="1802"/>
      <c r="G8" s="1803"/>
      <c r="H8" s="1803"/>
      <c r="I8" s="1804"/>
      <c r="J8" s="1804"/>
      <c r="K8" s="1891"/>
    </row>
    <row r="9" spans="1:11" s="1798" customFormat="1" ht="61.5" customHeight="1" x14ac:dyDescent="0.3">
      <c r="A9" s="1799">
        <v>2</v>
      </c>
      <c r="B9" s="1800" t="s">
        <v>2030</v>
      </c>
      <c r="C9" s="1801" t="s">
        <v>483</v>
      </c>
      <c r="D9" s="1802">
        <v>1.3</v>
      </c>
      <c r="E9" s="1802">
        <f>E7</f>
        <v>1.1499999999999999</v>
      </c>
      <c r="F9" s="1802">
        <v>0.15</v>
      </c>
      <c r="G9" s="1803">
        <f>PRODUCT(D9:F9)</f>
        <v>0.22424999999999998</v>
      </c>
      <c r="H9" s="1803" t="s">
        <v>20</v>
      </c>
      <c r="I9" s="1804">
        <f>Data!I690</f>
        <v>4503.5</v>
      </c>
      <c r="J9" s="1804" t="s">
        <v>20</v>
      </c>
      <c r="K9" s="1891">
        <f>ROUND((G9*I9),0)</f>
        <v>1010</v>
      </c>
    </row>
    <row r="10" spans="1:11" s="1798" customFormat="1" x14ac:dyDescent="0.3">
      <c r="A10" s="1799"/>
      <c r="B10" s="1805"/>
      <c r="C10" s="1806"/>
      <c r="D10" s="1807"/>
      <c r="E10" s="1807"/>
      <c r="F10" s="1807"/>
      <c r="G10" s="1808"/>
      <c r="H10" s="1808"/>
      <c r="I10" s="1809"/>
      <c r="J10" s="1809"/>
      <c r="K10" s="1892"/>
    </row>
    <row r="11" spans="1:11" s="1798" customFormat="1" ht="92.25" customHeight="1" x14ac:dyDescent="0.3">
      <c r="A11" s="1799">
        <v>3</v>
      </c>
      <c r="B11" s="1805" t="s">
        <v>2031</v>
      </c>
      <c r="C11" s="1801"/>
      <c r="D11" s="1802"/>
      <c r="E11" s="1802"/>
      <c r="F11" s="1802"/>
      <c r="G11" s="1803"/>
      <c r="H11" s="1803"/>
      <c r="I11" s="1804"/>
      <c r="J11" s="1804"/>
      <c r="K11" s="1891"/>
    </row>
    <row r="12" spans="1:11" s="1798" customFormat="1" ht="23.25" customHeight="1" x14ac:dyDescent="0.3">
      <c r="A12" s="1799"/>
      <c r="B12" s="1805" t="s">
        <v>2032</v>
      </c>
      <c r="C12" s="1801" t="s">
        <v>483</v>
      </c>
      <c r="D12" s="1802">
        <f>1.1+0.2</f>
        <v>1.3</v>
      </c>
      <c r="E12" s="1802">
        <f>0.75+0.2+0.2</f>
        <v>1.1499999999999999</v>
      </c>
      <c r="F12" s="1802">
        <v>0.1</v>
      </c>
      <c r="G12" s="1803">
        <f>PRODUCT(D12:F12)</f>
        <v>0.14949999999999999</v>
      </c>
      <c r="H12" s="1803" t="s">
        <v>20</v>
      </c>
      <c r="I12" s="1804">
        <f>Data!I725</f>
        <v>7284.3</v>
      </c>
      <c r="J12" s="1804" t="s">
        <v>20</v>
      </c>
      <c r="K12" s="1891">
        <f>ROUND((G12*I12),0)</f>
        <v>1089</v>
      </c>
    </row>
    <row r="13" spans="1:11" s="1798" customFormat="1" ht="27" customHeight="1" x14ac:dyDescent="0.3">
      <c r="A13" s="1799"/>
      <c r="B13" s="1805" t="s">
        <v>2033</v>
      </c>
      <c r="C13" s="1801" t="s">
        <v>483</v>
      </c>
      <c r="D13" s="1802">
        <f>(1*2+0.85*2)</f>
        <v>3.7</v>
      </c>
      <c r="E13" s="1802">
        <v>0.1</v>
      </c>
      <c r="F13" s="1802">
        <v>1.05</v>
      </c>
      <c r="G13" s="1803">
        <f>PRODUCT(D13:F13)</f>
        <v>0.38850000000000007</v>
      </c>
      <c r="H13" s="1803" t="s">
        <v>20</v>
      </c>
      <c r="I13" s="1804">
        <f>Data!I708</f>
        <v>18586.900000000001</v>
      </c>
      <c r="J13" s="1804" t="s">
        <v>20</v>
      </c>
      <c r="K13" s="1891">
        <f>ROUND((G13*I13),0)</f>
        <v>7221</v>
      </c>
    </row>
    <row r="14" spans="1:11" s="1798" customFormat="1" ht="38.25" customHeight="1" x14ac:dyDescent="0.3">
      <c r="A14" s="1799"/>
      <c r="B14" s="1805" t="s">
        <v>2034</v>
      </c>
      <c r="C14" s="1801" t="s">
        <v>483</v>
      </c>
      <c r="D14" s="1802">
        <v>1.1000000000000001</v>
      </c>
      <c r="E14" s="1802">
        <f>0.75+0.2</f>
        <v>0.95</v>
      </c>
      <c r="F14" s="1802">
        <v>0.1</v>
      </c>
      <c r="G14" s="1802">
        <f>PRODUCT(D14:F14)</f>
        <v>0.1045</v>
      </c>
      <c r="H14" s="1803" t="s">
        <v>20</v>
      </c>
      <c r="I14" s="1804">
        <f>I12</f>
        <v>7284.3</v>
      </c>
      <c r="J14" s="1804" t="s">
        <v>20</v>
      </c>
      <c r="K14" s="1893">
        <f>ROUND((G14*I14),0)</f>
        <v>761</v>
      </c>
    </row>
    <row r="15" spans="1:11" s="1798" customFormat="1" x14ac:dyDescent="0.3">
      <c r="A15" s="1799"/>
      <c r="B15" s="1805"/>
      <c r="C15" s="1810"/>
      <c r="D15" s="1802"/>
      <c r="E15" s="1802"/>
      <c r="F15" s="1802"/>
      <c r="G15" s="1802"/>
      <c r="H15" s="1803"/>
      <c r="I15" s="1804"/>
      <c r="J15" s="1804"/>
      <c r="K15" s="1894"/>
    </row>
    <row r="16" spans="1:11" s="1798" customFormat="1" ht="40.5" customHeight="1" x14ac:dyDescent="0.3">
      <c r="A16" s="1799">
        <v>4</v>
      </c>
      <c r="B16" s="1805" t="s">
        <v>2035</v>
      </c>
      <c r="C16" s="1810"/>
      <c r="D16" s="1802"/>
      <c r="E16" s="1802"/>
      <c r="F16" s="1802"/>
      <c r="G16" s="1802">
        <v>30</v>
      </c>
      <c r="H16" s="1803" t="s">
        <v>1131</v>
      </c>
      <c r="I16" s="1804">
        <f>Data!H327</f>
        <v>60670.400000000001</v>
      </c>
      <c r="J16" s="1804" t="s">
        <v>486</v>
      </c>
      <c r="K16" s="1891">
        <f>ROUND((G16*I16/1000),0)</f>
        <v>1820</v>
      </c>
    </row>
    <row r="17" spans="1:14" s="1798" customFormat="1" x14ac:dyDescent="0.3">
      <c r="A17" s="1799"/>
      <c r="B17" s="1805"/>
      <c r="C17" s="1810"/>
      <c r="D17" s="1802"/>
      <c r="E17" s="1802"/>
      <c r="F17" s="1802"/>
      <c r="G17" s="1802"/>
      <c r="H17" s="1803"/>
      <c r="I17" s="1804"/>
      <c r="J17" s="1804"/>
      <c r="K17" s="1894"/>
    </row>
    <row r="18" spans="1:14" s="1798" customFormat="1" x14ac:dyDescent="0.3">
      <c r="A18" s="1799"/>
      <c r="B18" s="1803"/>
      <c r="C18" s="1801"/>
      <c r="D18" s="1802"/>
      <c r="E18" s="1802"/>
      <c r="F18" s="1802"/>
      <c r="G18" s="1803"/>
      <c r="H18" s="1803"/>
      <c r="I18" s="1804"/>
      <c r="J18" s="1804"/>
      <c r="K18" s="1891"/>
    </row>
    <row r="19" spans="1:14" s="1798" customFormat="1" x14ac:dyDescent="0.3">
      <c r="A19" s="1799">
        <v>5</v>
      </c>
      <c r="B19" s="1803" t="s">
        <v>2036</v>
      </c>
      <c r="C19" s="1801"/>
      <c r="D19" s="1802"/>
      <c r="E19" s="1802"/>
      <c r="F19" s="1802"/>
      <c r="G19" s="1803"/>
      <c r="H19" s="1803"/>
      <c r="I19" s="1804"/>
      <c r="J19" s="1804"/>
      <c r="K19" s="1891">
        <f>ROUND(SUM(K7:K16)*0.5,0)</f>
        <v>6111</v>
      </c>
    </row>
    <row r="20" spans="1:14" s="1798" customFormat="1" x14ac:dyDescent="0.3">
      <c r="A20" s="1811"/>
      <c r="B20" s="1812"/>
      <c r="C20" s="1813"/>
      <c r="D20" s="1814"/>
      <c r="E20" s="1814"/>
      <c r="F20" s="1814"/>
      <c r="G20" s="1812"/>
      <c r="H20" s="1812"/>
      <c r="I20" s="1815"/>
      <c r="J20" s="1815"/>
      <c r="K20" s="1895"/>
    </row>
    <row r="21" spans="1:14" s="1798" customFormat="1" x14ac:dyDescent="0.3">
      <c r="A21" s="1816"/>
      <c r="B21" s="1817" t="s">
        <v>2037</v>
      </c>
      <c r="C21" s="1818"/>
      <c r="D21" s="1819"/>
      <c r="E21" s="1819"/>
      <c r="F21" s="1819"/>
      <c r="G21" s="1819"/>
      <c r="H21" s="1819"/>
      <c r="I21" s="1820"/>
      <c r="J21" s="1820"/>
      <c r="K21" s="1896">
        <f>ROUND(SUM(K7:K19),0)</f>
        <v>18332</v>
      </c>
    </row>
    <row r="22" spans="1:14" x14ac:dyDescent="0.3">
      <c r="A22" s="1794"/>
      <c r="B22" s="1794"/>
      <c r="C22" s="1821"/>
      <c r="D22" s="1794"/>
      <c r="E22" s="1794"/>
      <c r="F22" s="1794"/>
      <c r="G22" s="1794"/>
      <c r="H22" s="1794"/>
      <c r="I22" s="1794"/>
      <c r="J22" s="1794"/>
      <c r="K22" s="1794"/>
    </row>
    <row r="23" spans="1:14" x14ac:dyDescent="0.3">
      <c r="A23" s="1794"/>
      <c r="B23" s="1794"/>
      <c r="C23" s="1821"/>
      <c r="D23" s="1794"/>
      <c r="E23" s="1794"/>
      <c r="F23" s="1794"/>
      <c r="G23" s="1794"/>
      <c r="H23" s="1794"/>
      <c r="I23" s="1794"/>
      <c r="J23" s="1794"/>
      <c r="K23" s="1794"/>
      <c r="L23" s="1822">
        <f>ROUND(K21-K19,0)</f>
        <v>12221</v>
      </c>
      <c r="M23" s="1823" t="s">
        <v>2038</v>
      </c>
      <c r="N23" s="1823"/>
    </row>
    <row r="24" spans="1:14" x14ac:dyDescent="0.3">
      <c r="A24" s="1794"/>
      <c r="B24" s="1794"/>
      <c r="C24" s="1821"/>
      <c r="D24" s="1794"/>
      <c r="E24" s="1794"/>
      <c r="F24" s="1794"/>
      <c r="G24" s="1794"/>
      <c r="H24" s="1794"/>
      <c r="I24" s="1794"/>
      <c r="J24" s="1794"/>
      <c r="K24" s="1794"/>
    </row>
    <row r="25" spans="1:14" x14ac:dyDescent="0.3">
      <c r="A25" s="1794"/>
      <c r="B25" s="1824"/>
      <c r="C25" s="1794"/>
      <c r="D25" s="1824"/>
      <c r="E25" s="1824"/>
      <c r="F25" s="1794"/>
      <c r="G25" s="1794"/>
      <c r="H25" s="1794"/>
      <c r="I25" s="1794"/>
      <c r="J25" s="1794"/>
      <c r="K25" s="1794"/>
    </row>
    <row r="26" spans="1:14" x14ac:dyDescent="0.3">
      <c r="A26" s="1794"/>
      <c r="B26" s="1824"/>
      <c r="C26" s="1824"/>
      <c r="D26" s="1825"/>
      <c r="E26" s="1825"/>
      <c r="F26" s="1794"/>
      <c r="G26" s="1794"/>
      <c r="H26" s="1794"/>
      <c r="I26" s="1794"/>
      <c r="J26" s="1794"/>
      <c r="K26" s="1794"/>
    </row>
    <row r="27" spans="1:14" x14ac:dyDescent="0.3">
      <c r="A27" s="1794"/>
      <c r="B27" s="1794"/>
      <c r="C27" s="1824"/>
      <c r="D27" s="1825"/>
      <c r="E27" s="1825"/>
      <c r="F27" s="1794"/>
      <c r="G27" s="1794"/>
      <c r="H27" s="1794"/>
      <c r="I27" s="1794"/>
      <c r="J27" s="1794"/>
      <c r="K27" s="1794"/>
    </row>
    <row r="28" spans="1:14" x14ac:dyDescent="0.3">
      <c r="A28" s="1794"/>
      <c r="B28" s="1794"/>
      <c r="C28" s="1824"/>
      <c r="D28" s="1794"/>
      <c r="E28" s="1794"/>
      <c r="F28" s="1794"/>
      <c r="G28" s="1794"/>
      <c r="H28" s="1794"/>
      <c r="I28" s="1794"/>
      <c r="J28" s="1794"/>
      <c r="K28" s="1794"/>
    </row>
    <row r="29" spans="1:14" x14ac:dyDescent="0.3">
      <c r="A29" s="1794"/>
      <c r="B29" s="1794"/>
      <c r="C29" s="1824"/>
      <c r="D29" s="1794"/>
      <c r="E29" s="1794"/>
      <c r="F29" s="1794"/>
      <c r="G29" s="1794"/>
      <c r="H29" s="1794"/>
      <c r="I29" s="1794"/>
      <c r="J29" s="1794"/>
      <c r="K29" s="1794"/>
    </row>
    <row r="30" spans="1:14" x14ac:dyDescent="0.3">
      <c r="A30" s="1794"/>
      <c r="B30" s="1794"/>
      <c r="C30" s="1794"/>
      <c r="D30" s="1794"/>
      <c r="E30" s="1794"/>
      <c r="F30" s="1794"/>
      <c r="G30" s="1794"/>
      <c r="H30" s="1794"/>
      <c r="I30" s="1794"/>
      <c r="J30" s="1794"/>
      <c r="K30" s="1794"/>
    </row>
  </sheetData>
  <mergeCells count="3">
    <mergeCell ref="A1:K1"/>
    <mergeCell ref="A2:K2"/>
    <mergeCell ref="A3:K3"/>
  </mergeCells>
  <pageMargins left="0.7" right="0.7" top="0.75" bottom="0.75" header="0.3" footer="0.3"/>
  <pageSetup scale="83" orientation="portrait" verticalDpi="0" r:id="rId1"/>
  <colBreaks count="1" manualBreakCount="1">
    <brk id="11"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activeCell="L23" sqref="L23"/>
    </sheetView>
  </sheetViews>
  <sheetFormatPr defaultColWidth="9.140625" defaultRowHeight="15" x14ac:dyDescent="0.3"/>
  <cols>
    <col min="1" max="1" width="5.42578125" style="455" customWidth="1"/>
    <col min="2" max="2" width="31.140625" style="455" customWidth="1"/>
    <col min="3" max="3" width="6.140625" style="455" customWidth="1"/>
    <col min="4" max="4" width="7.5703125" style="455" customWidth="1"/>
    <col min="5" max="5" width="7.85546875" style="455" customWidth="1"/>
    <col min="6" max="6" width="7.42578125" style="455" customWidth="1"/>
    <col min="7" max="7" width="7" style="455" customWidth="1"/>
    <col min="8" max="8" width="6" style="455" customWidth="1"/>
    <col min="9" max="9" width="10.140625" style="455" bestFit="1" customWidth="1"/>
    <col min="10" max="10" width="4.5703125" style="455" customWidth="1"/>
    <col min="11" max="11" width="10" style="455" customWidth="1"/>
    <col min="12" max="12" width="11.140625" style="455" customWidth="1"/>
    <col min="13" max="16384" width="9.140625" style="455"/>
  </cols>
  <sheetData>
    <row r="1" spans="1:11" ht="16.5" x14ac:dyDescent="0.3">
      <c r="A1" s="2172" t="s">
        <v>2025</v>
      </c>
      <c r="B1" s="2172"/>
      <c r="C1" s="2172"/>
      <c r="D1" s="2172"/>
      <c r="E1" s="2172"/>
      <c r="F1" s="2172"/>
      <c r="G1" s="2172"/>
      <c r="H1" s="2172"/>
      <c r="I1" s="2172"/>
      <c r="J1" s="2172"/>
      <c r="K1" s="2172"/>
    </row>
    <row r="2" spans="1:11" ht="16.5" x14ac:dyDescent="0.35">
      <c r="A2" s="2173" t="s">
        <v>2039</v>
      </c>
      <c r="B2" s="2173"/>
      <c r="C2" s="2173"/>
      <c r="D2" s="2173"/>
      <c r="E2" s="2173"/>
      <c r="F2" s="2173"/>
      <c r="G2" s="2173"/>
      <c r="H2" s="2173"/>
      <c r="I2" s="2173"/>
      <c r="J2" s="2173"/>
      <c r="K2" s="2173"/>
    </row>
    <row r="3" spans="1:11" ht="16.5" x14ac:dyDescent="0.35">
      <c r="A3" s="2173" t="s">
        <v>2040</v>
      </c>
      <c r="B3" s="2173"/>
      <c r="C3" s="2173"/>
      <c r="D3" s="2173"/>
      <c r="E3" s="2173"/>
      <c r="F3" s="2173"/>
      <c r="G3" s="2173"/>
      <c r="H3" s="2173"/>
      <c r="I3" s="2173"/>
      <c r="J3" s="2173"/>
      <c r="K3" s="2173"/>
    </row>
    <row r="5" spans="1:11" s="1794" customFormat="1" ht="33" x14ac:dyDescent="0.25">
      <c r="A5" s="1792" t="s">
        <v>2041</v>
      </c>
      <c r="B5" s="1793" t="s">
        <v>2028</v>
      </c>
      <c r="C5" s="1793" t="s">
        <v>1262</v>
      </c>
      <c r="D5" s="1793" t="s">
        <v>342</v>
      </c>
      <c r="E5" s="1793" t="s">
        <v>343</v>
      </c>
      <c r="F5" s="1793" t="s">
        <v>344</v>
      </c>
      <c r="G5" s="1793" t="s">
        <v>512</v>
      </c>
      <c r="H5" s="1793" t="s">
        <v>1378</v>
      </c>
      <c r="I5" s="1793" t="s">
        <v>140</v>
      </c>
      <c r="J5" s="1793" t="s">
        <v>401</v>
      </c>
      <c r="K5" s="1793" t="s">
        <v>141</v>
      </c>
    </row>
    <row r="6" spans="1:11" s="1798" customFormat="1" x14ac:dyDescent="0.3">
      <c r="A6" s="1795"/>
      <c r="B6" s="1796"/>
      <c r="C6" s="1796"/>
      <c r="D6" s="1796"/>
      <c r="E6" s="1796"/>
      <c r="F6" s="1796"/>
      <c r="G6" s="1796"/>
      <c r="H6" s="1796"/>
      <c r="I6" s="1796"/>
      <c r="J6" s="1796"/>
      <c r="K6" s="1797"/>
    </row>
    <row r="7" spans="1:11" s="1798" customFormat="1" ht="78" customHeight="1" x14ac:dyDescent="0.3">
      <c r="A7" s="1799">
        <v>1</v>
      </c>
      <c r="B7" s="1800" t="s">
        <v>2042</v>
      </c>
      <c r="C7" s="1801" t="s">
        <v>483</v>
      </c>
      <c r="D7" s="1802">
        <v>1.3</v>
      </c>
      <c r="E7" s="1802">
        <v>1.3</v>
      </c>
      <c r="F7" s="1802">
        <f>1.4+0.1+0.15</f>
        <v>1.65</v>
      </c>
      <c r="G7" s="1802">
        <f>PRODUCT(D7:F7)</f>
        <v>2.7885</v>
      </c>
      <c r="H7" s="1802" t="s">
        <v>20</v>
      </c>
      <c r="I7" s="1804">
        <f>'VC 80'!I7</f>
        <v>158.80000000000001</v>
      </c>
      <c r="J7" s="1804" t="s">
        <v>20</v>
      </c>
      <c r="K7" s="1891">
        <f>ROUND((G7*I7),0)</f>
        <v>443</v>
      </c>
    </row>
    <row r="8" spans="1:11" s="1798" customFormat="1" x14ac:dyDescent="0.3">
      <c r="A8" s="1799"/>
      <c r="B8" s="1803"/>
      <c r="C8" s="1801"/>
      <c r="D8" s="1802"/>
      <c r="E8" s="1802"/>
      <c r="F8" s="1802"/>
      <c r="G8" s="1802"/>
      <c r="H8" s="1802"/>
      <c r="I8" s="1804"/>
      <c r="J8" s="1804"/>
      <c r="K8" s="1891"/>
    </row>
    <row r="9" spans="1:11" s="1798" customFormat="1" ht="59.25" customHeight="1" x14ac:dyDescent="0.3">
      <c r="A9" s="1799">
        <v>2</v>
      </c>
      <c r="B9" s="1800" t="s">
        <v>2030</v>
      </c>
      <c r="C9" s="1801" t="s">
        <v>483</v>
      </c>
      <c r="D9" s="1802">
        <v>1.3</v>
      </c>
      <c r="E9" s="1802">
        <v>1.3</v>
      </c>
      <c r="F9" s="1802">
        <v>0.15</v>
      </c>
      <c r="G9" s="1802">
        <f>PRODUCT(D9:F9)</f>
        <v>0.2535</v>
      </c>
      <c r="H9" s="1802" t="s">
        <v>20</v>
      </c>
      <c r="I9" s="1804">
        <f>'VC 80'!I9</f>
        <v>4503.5</v>
      </c>
      <c r="J9" s="1804" t="s">
        <v>20</v>
      </c>
      <c r="K9" s="1891">
        <f>ROUND((G9*I9),0)</f>
        <v>1142</v>
      </c>
    </row>
    <row r="10" spans="1:11" s="1798" customFormat="1" x14ac:dyDescent="0.3">
      <c r="A10" s="1799"/>
      <c r="B10" s="1805"/>
      <c r="C10" s="1801"/>
      <c r="D10" s="1802"/>
      <c r="E10" s="1802"/>
      <c r="F10" s="1802"/>
      <c r="G10" s="1802"/>
      <c r="H10" s="1802"/>
      <c r="I10" s="1804"/>
      <c r="J10" s="1804"/>
      <c r="K10" s="1891"/>
    </row>
    <row r="11" spans="1:11" s="1798" customFormat="1" ht="91.5" customHeight="1" x14ac:dyDescent="0.3">
      <c r="A11" s="1799">
        <v>3</v>
      </c>
      <c r="B11" s="1800" t="s">
        <v>2031</v>
      </c>
      <c r="C11" s="1801"/>
      <c r="D11" s="1802"/>
      <c r="E11" s="1802"/>
      <c r="F11" s="1802"/>
      <c r="G11" s="1802"/>
      <c r="H11" s="1802"/>
      <c r="I11" s="1804"/>
      <c r="J11" s="1804"/>
      <c r="K11" s="1891"/>
    </row>
    <row r="12" spans="1:11" s="1798" customFormat="1" ht="30" customHeight="1" x14ac:dyDescent="0.3">
      <c r="A12" s="1799"/>
      <c r="B12" s="1805" t="s">
        <v>2032</v>
      </c>
      <c r="C12" s="1801" t="s">
        <v>483</v>
      </c>
      <c r="D12" s="1802">
        <f>1.1+0.2</f>
        <v>1.3</v>
      </c>
      <c r="E12" s="1802">
        <f>1.1+0.2</f>
        <v>1.3</v>
      </c>
      <c r="F12" s="1802">
        <v>0.1</v>
      </c>
      <c r="G12" s="1802">
        <f>PRODUCT(D12:F12)</f>
        <v>0.16900000000000004</v>
      </c>
      <c r="H12" s="1802" t="s">
        <v>20</v>
      </c>
      <c r="I12" s="1804">
        <f>'VC 80'!I12</f>
        <v>7284.3</v>
      </c>
      <c r="J12" s="1804" t="s">
        <v>20</v>
      </c>
      <c r="K12" s="1891">
        <f>ROUND((G12*I12),0)</f>
        <v>1231</v>
      </c>
    </row>
    <row r="13" spans="1:11" s="1798" customFormat="1" ht="30.75" customHeight="1" x14ac:dyDescent="0.3">
      <c r="A13" s="1799"/>
      <c r="B13" s="1805" t="s">
        <v>2033</v>
      </c>
      <c r="C13" s="1801" t="s">
        <v>483</v>
      </c>
      <c r="D13" s="1802">
        <v>4</v>
      </c>
      <c r="E13" s="1802">
        <v>0.1</v>
      </c>
      <c r="F13" s="1802">
        <v>1.4</v>
      </c>
      <c r="G13" s="1802">
        <f>PRODUCT(D13:F13)</f>
        <v>0.55999999999999994</v>
      </c>
      <c r="H13" s="1802" t="s">
        <v>20</v>
      </c>
      <c r="I13" s="1804">
        <f>'VC 80'!I13</f>
        <v>18586.900000000001</v>
      </c>
      <c r="J13" s="1804" t="s">
        <v>20</v>
      </c>
      <c r="K13" s="1891">
        <f>ROUND((G13*I13),0)</f>
        <v>10409</v>
      </c>
    </row>
    <row r="14" spans="1:11" s="1798" customFormat="1" ht="37.5" customHeight="1" x14ac:dyDescent="0.3">
      <c r="A14" s="1799"/>
      <c r="B14" s="1800" t="s">
        <v>2034</v>
      </c>
      <c r="C14" s="1801" t="s">
        <v>483</v>
      </c>
      <c r="D14" s="1802">
        <v>1.1000000000000001</v>
      </c>
      <c r="E14" s="1802">
        <v>1.1000000000000001</v>
      </c>
      <c r="F14" s="1802">
        <v>0.1</v>
      </c>
      <c r="G14" s="1802">
        <f>PRODUCT(D14:F14)</f>
        <v>0.12100000000000002</v>
      </c>
      <c r="H14" s="1802" t="s">
        <v>20</v>
      </c>
      <c r="I14" s="1804">
        <f>I12</f>
        <v>7284.3</v>
      </c>
      <c r="J14" s="1804" t="s">
        <v>20</v>
      </c>
      <c r="K14" s="1893">
        <f>ROUND((G14*I14),0)</f>
        <v>881</v>
      </c>
    </row>
    <row r="15" spans="1:11" s="1798" customFormat="1" x14ac:dyDescent="0.3">
      <c r="A15" s="1799"/>
      <c r="B15" s="1800"/>
      <c r="C15" s="1801"/>
      <c r="D15" s="1802"/>
      <c r="E15" s="1802"/>
      <c r="F15" s="1802"/>
      <c r="G15" s="1802"/>
      <c r="H15" s="1802"/>
      <c r="I15" s="1804"/>
      <c r="J15" s="1804"/>
      <c r="K15" s="1894"/>
    </row>
    <row r="16" spans="1:11" s="1798" customFormat="1" x14ac:dyDescent="0.3">
      <c r="A16" s="1799"/>
      <c r="B16" s="1803"/>
      <c r="C16" s="1801"/>
      <c r="D16" s="1802"/>
      <c r="E16" s="1802"/>
      <c r="F16" s="1802"/>
      <c r="G16" s="1802"/>
      <c r="H16" s="1802"/>
      <c r="I16" s="1804"/>
      <c r="J16" s="1804"/>
      <c r="K16" s="1891"/>
    </row>
    <row r="17" spans="1:12" s="1798" customFormat="1" ht="35.25" customHeight="1" x14ac:dyDescent="0.3">
      <c r="A17" s="1799">
        <v>4</v>
      </c>
      <c r="B17" s="1800" t="s">
        <v>2043</v>
      </c>
      <c r="C17" s="1810"/>
      <c r="D17" s="1802"/>
      <c r="E17" s="1802"/>
      <c r="F17" s="1802"/>
      <c r="G17" s="1802">
        <v>40</v>
      </c>
      <c r="H17" s="1802" t="s">
        <v>1131</v>
      </c>
      <c r="I17" s="1804">
        <f>'VC 80'!I16</f>
        <v>60670.400000000001</v>
      </c>
      <c r="J17" s="1804" t="s">
        <v>486</v>
      </c>
      <c r="K17" s="1891">
        <f>ROUND((G17*I17/1000),0)</f>
        <v>2427</v>
      </c>
    </row>
    <row r="18" spans="1:12" s="1798" customFormat="1" x14ac:dyDescent="0.3">
      <c r="A18" s="1799"/>
      <c r="B18" s="1803"/>
      <c r="C18" s="1801"/>
      <c r="D18" s="1802"/>
      <c r="E18" s="1802"/>
      <c r="F18" s="1802"/>
      <c r="G18" s="1802"/>
      <c r="H18" s="1802"/>
      <c r="I18" s="1804"/>
      <c r="J18" s="1804"/>
      <c r="K18" s="1891"/>
    </row>
    <row r="19" spans="1:12" s="1798" customFormat="1" x14ac:dyDescent="0.3">
      <c r="A19" s="1799">
        <v>5</v>
      </c>
      <c r="B19" s="1803" t="s">
        <v>2036</v>
      </c>
      <c r="C19" s="1801"/>
      <c r="D19" s="1802"/>
      <c r="E19" s="1802"/>
      <c r="F19" s="1802"/>
      <c r="G19" s="1802"/>
      <c r="H19" s="1802"/>
      <c r="I19" s="1804"/>
      <c r="J19" s="1804"/>
      <c r="K19" s="1891">
        <f>ROUND(SUM(K7:K17)*0.5,0)</f>
        <v>8267</v>
      </c>
    </row>
    <row r="20" spans="1:12" s="1798" customFormat="1" x14ac:dyDescent="0.3">
      <c r="A20" s="1811"/>
      <c r="B20" s="1812"/>
      <c r="C20" s="1813"/>
      <c r="D20" s="1814"/>
      <c r="E20" s="1814"/>
      <c r="F20" s="1814"/>
      <c r="G20" s="1814"/>
      <c r="H20" s="1814"/>
      <c r="I20" s="1815"/>
      <c r="J20" s="1815"/>
      <c r="K20" s="1895"/>
    </row>
    <row r="21" spans="1:12" s="1798" customFormat="1" x14ac:dyDescent="0.3">
      <c r="A21" s="1826"/>
      <c r="B21" s="1817" t="s">
        <v>2037</v>
      </c>
      <c r="C21" s="1818"/>
      <c r="D21" s="1827"/>
      <c r="E21" s="1827"/>
      <c r="F21" s="1827"/>
      <c r="G21" s="1827"/>
      <c r="H21" s="1827"/>
      <c r="I21" s="1820"/>
      <c r="J21" s="1820"/>
      <c r="K21" s="1896">
        <f>ROUND(SUM(K7:K19),0)</f>
        <v>24800</v>
      </c>
    </row>
    <row r="22" spans="1:12" x14ac:dyDescent="0.3">
      <c r="A22" s="1794"/>
      <c r="B22" s="1794"/>
      <c r="C22" s="1821"/>
      <c r="D22" s="1794"/>
      <c r="E22" s="1794"/>
      <c r="F22" s="1794"/>
      <c r="G22" s="1794"/>
      <c r="H22" s="1794"/>
      <c r="I22" s="1794"/>
      <c r="J22" s="1794"/>
      <c r="K22" s="1794"/>
    </row>
    <row r="23" spans="1:12" x14ac:dyDescent="0.3">
      <c r="A23" s="1794"/>
      <c r="B23" s="1794"/>
      <c r="C23" s="1821"/>
      <c r="D23" s="1794"/>
      <c r="E23" s="1794"/>
      <c r="F23" s="1794"/>
      <c r="G23" s="1794"/>
      <c r="H23" s="1794"/>
      <c r="I23" s="1794"/>
      <c r="J23" s="1794"/>
      <c r="K23" s="1794"/>
      <c r="L23" s="1908">
        <f>K21-K19</f>
        <v>16533</v>
      </c>
    </row>
    <row r="24" spans="1:12" x14ac:dyDescent="0.3">
      <c r="A24" s="1794"/>
      <c r="B24" s="1794"/>
      <c r="C24" s="1794"/>
      <c r="D24" s="1794"/>
      <c r="E24" s="1794"/>
      <c r="F24" s="1794"/>
      <c r="G24" s="1794"/>
      <c r="H24" s="1794"/>
      <c r="I24" s="1794"/>
      <c r="J24" s="1794"/>
      <c r="K24" s="1794"/>
    </row>
    <row r="25" spans="1:12" x14ac:dyDescent="0.3">
      <c r="A25" s="1794"/>
      <c r="B25" s="1794"/>
      <c r="C25" s="1794"/>
      <c r="D25" s="1794"/>
      <c r="E25" s="1794"/>
      <c r="F25" s="1794"/>
      <c r="G25" s="1794"/>
      <c r="H25" s="1794"/>
      <c r="I25" s="1794"/>
      <c r="J25" s="1794"/>
      <c r="K25" s="1794"/>
    </row>
    <row r="26" spans="1:12" x14ac:dyDescent="0.3">
      <c r="A26" s="1794"/>
      <c r="B26" s="1794"/>
      <c r="C26" s="1824"/>
      <c r="D26" s="1825"/>
      <c r="E26" s="1825"/>
      <c r="F26" s="1794"/>
      <c r="G26" s="1794"/>
      <c r="H26" s="1794"/>
      <c r="I26" s="1794"/>
      <c r="J26" s="1794"/>
      <c r="K26" s="1794"/>
    </row>
    <row r="27" spans="1:12" x14ac:dyDescent="0.3">
      <c r="A27" s="1794"/>
      <c r="B27" s="1794"/>
      <c r="C27" s="1824"/>
      <c r="D27" s="1794"/>
      <c r="E27" s="1794"/>
      <c r="F27" s="1794"/>
      <c r="G27" s="1794"/>
      <c r="H27" s="1794"/>
      <c r="I27" s="1794"/>
      <c r="J27" s="1794"/>
      <c r="K27" s="1794"/>
    </row>
    <row r="28" spans="1:12" x14ac:dyDescent="0.3">
      <c r="A28" s="1794"/>
      <c r="B28" s="1794"/>
      <c r="C28" s="1824"/>
      <c r="D28" s="1794"/>
      <c r="E28" s="1794"/>
      <c r="F28" s="1794"/>
      <c r="G28" s="1794"/>
      <c r="H28" s="1794"/>
      <c r="I28" s="1794"/>
      <c r="J28" s="1794"/>
      <c r="K28" s="1794"/>
    </row>
  </sheetData>
  <mergeCells count="3">
    <mergeCell ref="A1:K1"/>
    <mergeCell ref="A2:K2"/>
    <mergeCell ref="A3:K3"/>
  </mergeCells>
  <pageMargins left="0.7" right="0.7" top="0.75" bottom="0.75" header="0.3" footer="0.3"/>
  <pageSetup scale="74" orientation="portrait" verticalDpi="0" r:id="rId1"/>
  <colBreaks count="1" manualBreakCount="1">
    <brk id="11"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opLeftCell="A13" workbookViewId="0">
      <selection activeCell="M22" sqref="M22"/>
    </sheetView>
  </sheetViews>
  <sheetFormatPr defaultColWidth="9.140625" defaultRowHeight="15" x14ac:dyDescent="0.3"/>
  <cols>
    <col min="1" max="1" width="5.42578125" style="455" customWidth="1"/>
    <col min="2" max="2" width="32.7109375" style="455" customWidth="1"/>
    <col min="3" max="3" width="7.140625" style="455" customWidth="1"/>
    <col min="4" max="4" width="6.7109375" style="455" customWidth="1"/>
    <col min="5" max="6" width="7.28515625" style="455" customWidth="1"/>
    <col min="7" max="7" width="6.7109375" style="455" customWidth="1"/>
    <col min="8" max="8" width="5.28515625" style="455" customWidth="1"/>
    <col min="9" max="9" width="10.140625" style="455" bestFit="1" customWidth="1"/>
    <col min="10" max="10" width="6.140625" style="455" customWidth="1"/>
    <col min="11" max="11" width="11" style="455" customWidth="1"/>
    <col min="12" max="16384" width="9.140625" style="455"/>
  </cols>
  <sheetData>
    <row r="1" spans="1:11" ht="16.5" x14ac:dyDescent="0.3">
      <c r="A1" s="2172" t="s">
        <v>2025</v>
      </c>
      <c r="B1" s="2172"/>
      <c r="C1" s="2172"/>
      <c r="D1" s="2172"/>
      <c r="E1" s="2172"/>
      <c r="F1" s="2172"/>
      <c r="G1" s="2172"/>
      <c r="H1" s="2172"/>
      <c r="I1" s="2172"/>
      <c r="J1" s="2172"/>
      <c r="K1" s="2172"/>
    </row>
    <row r="2" spans="1:11" ht="16.5" x14ac:dyDescent="0.35">
      <c r="A2" s="2173" t="s">
        <v>2044</v>
      </c>
      <c r="B2" s="2173"/>
      <c r="C2" s="2173"/>
      <c r="D2" s="2173"/>
      <c r="E2" s="2173"/>
      <c r="F2" s="2173"/>
      <c r="G2" s="2173"/>
      <c r="H2" s="2173"/>
      <c r="I2" s="2173"/>
      <c r="J2" s="2173"/>
      <c r="K2" s="2173"/>
    </row>
    <row r="3" spans="1:11" ht="16.5" x14ac:dyDescent="0.35">
      <c r="A3" s="2173" t="s">
        <v>2045</v>
      </c>
      <c r="B3" s="2173"/>
      <c r="C3" s="2173"/>
      <c r="D3" s="2173"/>
      <c r="E3" s="2173"/>
      <c r="F3" s="2173"/>
      <c r="G3" s="2173"/>
      <c r="H3" s="2173"/>
      <c r="I3" s="2173"/>
      <c r="J3" s="2173"/>
      <c r="K3" s="2173"/>
    </row>
    <row r="5" spans="1:11" s="1794" customFormat="1" ht="33" x14ac:dyDescent="0.25">
      <c r="A5" s="1792" t="s">
        <v>2041</v>
      </c>
      <c r="B5" s="1793" t="s">
        <v>2028</v>
      </c>
      <c r="C5" s="1793" t="s">
        <v>1262</v>
      </c>
      <c r="D5" s="1793" t="s">
        <v>342</v>
      </c>
      <c r="E5" s="1793" t="s">
        <v>343</v>
      </c>
      <c r="F5" s="1793" t="s">
        <v>344</v>
      </c>
      <c r="G5" s="1793" t="s">
        <v>512</v>
      </c>
      <c r="H5" s="1793" t="s">
        <v>1378</v>
      </c>
      <c r="I5" s="1793" t="s">
        <v>140</v>
      </c>
      <c r="J5" s="1793" t="s">
        <v>401</v>
      </c>
      <c r="K5" s="1793" t="s">
        <v>141</v>
      </c>
    </row>
    <row r="6" spans="1:11" ht="16.5" x14ac:dyDescent="0.35">
      <c r="A6" s="1828"/>
      <c r="B6" s="1829"/>
      <c r="C6" s="1829"/>
      <c r="D6" s="1829"/>
      <c r="E6" s="1829"/>
      <c r="F6" s="1829"/>
      <c r="G6" s="1829"/>
      <c r="H6" s="1829"/>
      <c r="I6" s="1829"/>
      <c r="J6" s="1829"/>
      <c r="K6" s="1830"/>
    </row>
    <row r="7" spans="1:11" s="1798" customFormat="1" ht="82.5" customHeight="1" x14ac:dyDescent="0.3">
      <c r="A7" s="1799">
        <v>1</v>
      </c>
      <c r="B7" s="1800" t="s">
        <v>2042</v>
      </c>
      <c r="C7" s="1801" t="s">
        <v>483</v>
      </c>
      <c r="D7" s="1802">
        <f>1.05+0.2+0.4</f>
        <v>1.65</v>
      </c>
      <c r="E7" s="1802">
        <f>1.2+0.2+0.4</f>
        <v>1.7999999999999998</v>
      </c>
      <c r="F7" s="1802">
        <f>1.7+0.1+0.15</f>
        <v>1.95</v>
      </c>
      <c r="G7" s="1802">
        <f>ROUND((D7*E7*F7),2)</f>
        <v>5.79</v>
      </c>
      <c r="H7" s="1803" t="s">
        <v>20</v>
      </c>
      <c r="I7" s="1804">
        <f>'VC 200'!I7</f>
        <v>158.80000000000001</v>
      </c>
      <c r="J7" s="1804" t="s">
        <v>20</v>
      </c>
      <c r="K7" s="1891">
        <f>ROUND((G7*I7),0)</f>
        <v>919</v>
      </c>
    </row>
    <row r="8" spans="1:11" s="1798" customFormat="1" x14ac:dyDescent="0.3">
      <c r="A8" s="1799"/>
      <c r="B8" s="1803"/>
      <c r="C8" s="1801"/>
      <c r="D8" s="1802"/>
      <c r="E8" s="1802"/>
      <c r="F8" s="1802"/>
      <c r="G8" s="1802"/>
      <c r="H8" s="1803"/>
      <c r="I8" s="1804"/>
      <c r="J8" s="1804"/>
      <c r="K8" s="1891"/>
    </row>
    <row r="9" spans="1:11" s="1798" customFormat="1" ht="66.75" customHeight="1" x14ac:dyDescent="0.3">
      <c r="A9" s="1799">
        <v>2</v>
      </c>
      <c r="B9" s="1800" t="s">
        <v>2030</v>
      </c>
      <c r="C9" s="1801" t="s">
        <v>483</v>
      </c>
      <c r="D9" s="1802">
        <v>1.65</v>
      </c>
      <c r="E9" s="1802">
        <v>1.8</v>
      </c>
      <c r="F9" s="1802">
        <v>0.15</v>
      </c>
      <c r="G9" s="1802">
        <f>ROUND((D9*E9*F9),2)</f>
        <v>0.45</v>
      </c>
      <c r="H9" s="1803" t="s">
        <v>20</v>
      </c>
      <c r="I9" s="1804">
        <f>'VC 200'!I9</f>
        <v>4503.5</v>
      </c>
      <c r="J9" s="1804" t="s">
        <v>20</v>
      </c>
      <c r="K9" s="1891">
        <f>ROUND((G9*I9),0)</f>
        <v>2027</v>
      </c>
    </row>
    <row r="10" spans="1:11" s="1798" customFormat="1" x14ac:dyDescent="0.3">
      <c r="A10" s="1799"/>
      <c r="B10" s="1805"/>
      <c r="C10" s="1801"/>
      <c r="D10" s="1802"/>
      <c r="E10" s="1802"/>
      <c r="F10" s="1802"/>
      <c r="G10" s="1802"/>
      <c r="H10" s="1803"/>
      <c r="I10" s="1804"/>
      <c r="J10" s="1804"/>
      <c r="K10" s="1891"/>
    </row>
    <row r="11" spans="1:11" s="1798" customFormat="1" ht="96" customHeight="1" x14ac:dyDescent="0.3">
      <c r="A11" s="1799">
        <v>3</v>
      </c>
      <c r="B11" s="1800" t="s">
        <v>2031</v>
      </c>
      <c r="C11" s="1801"/>
      <c r="D11" s="1802"/>
      <c r="E11" s="1802"/>
      <c r="F11" s="1802"/>
      <c r="G11" s="1802"/>
      <c r="H11" s="1803"/>
      <c r="I11" s="1804"/>
      <c r="J11" s="1804"/>
      <c r="K11" s="1891"/>
    </row>
    <row r="12" spans="1:11" s="1798" customFormat="1" ht="20.25" customHeight="1" x14ac:dyDescent="0.3">
      <c r="A12" s="1799"/>
      <c r="B12" s="1805" t="s">
        <v>2032</v>
      </c>
      <c r="C12" s="1801" t="s">
        <v>483</v>
      </c>
      <c r="D12" s="1802">
        <f>1.25+0.2</f>
        <v>1.45</v>
      </c>
      <c r="E12" s="1802">
        <f>1.4+0.2</f>
        <v>1.5999999999999999</v>
      </c>
      <c r="F12" s="1802">
        <v>0.1</v>
      </c>
      <c r="G12" s="1802">
        <f>ROUND((D12*E12*F12),2)</f>
        <v>0.23</v>
      </c>
      <c r="H12" s="1803" t="s">
        <v>20</v>
      </c>
      <c r="I12" s="1804">
        <f>'VC 200'!I12</f>
        <v>7284.3</v>
      </c>
      <c r="J12" s="1804" t="s">
        <v>20</v>
      </c>
      <c r="K12" s="1891">
        <f>ROUND((G12*I12),0)</f>
        <v>1675</v>
      </c>
    </row>
    <row r="13" spans="1:11" s="1798" customFormat="1" ht="22.5" customHeight="1" x14ac:dyDescent="0.3">
      <c r="A13" s="1799"/>
      <c r="B13" s="1805" t="s">
        <v>2033</v>
      </c>
      <c r="C13" s="1801" t="s">
        <v>483</v>
      </c>
      <c r="D13" s="1802">
        <v>4.9000000000000004</v>
      </c>
      <c r="E13" s="1802">
        <v>0.1</v>
      </c>
      <c r="F13" s="1802">
        <v>1.7</v>
      </c>
      <c r="G13" s="1802">
        <f>ROUND((D13*E13*F13),2)</f>
        <v>0.83</v>
      </c>
      <c r="H13" s="1803" t="s">
        <v>20</v>
      </c>
      <c r="I13" s="1804">
        <f>'VC 200'!I13</f>
        <v>18586.900000000001</v>
      </c>
      <c r="J13" s="1804" t="s">
        <v>20</v>
      </c>
      <c r="K13" s="1891">
        <f>ROUND((G13*I13),0)</f>
        <v>15427</v>
      </c>
    </row>
    <row r="14" spans="1:11" s="1798" customFormat="1" ht="23.25" customHeight="1" x14ac:dyDescent="0.3">
      <c r="A14" s="1799"/>
      <c r="B14" s="1805" t="s">
        <v>2034</v>
      </c>
      <c r="C14" s="1801" t="s">
        <v>483</v>
      </c>
      <c r="D14" s="1802">
        <v>1.25</v>
      </c>
      <c r="E14" s="1802">
        <v>1.4</v>
      </c>
      <c r="F14" s="1802">
        <v>0.1</v>
      </c>
      <c r="G14" s="1802">
        <f>ROUND((D14*E14*F14),2)</f>
        <v>0.18</v>
      </c>
      <c r="H14" s="1803" t="s">
        <v>20</v>
      </c>
      <c r="I14" s="1804">
        <f>I12</f>
        <v>7284.3</v>
      </c>
      <c r="J14" s="1804" t="s">
        <v>20</v>
      </c>
      <c r="K14" s="1893">
        <f>ROUND((G14*I14),0)</f>
        <v>1311</v>
      </c>
    </row>
    <row r="15" spans="1:11" s="1798" customFormat="1" x14ac:dyDescent="0.3">
      <c r="A15" s="1799"/>
      <c r="B15" s="1805"/>
      <c r="C15" s="1801"/>
      <c r="D15" s="1802"/>
      <c r="E15" s="1802"/>
      <c r="F15" s="1802"/>
      <c r="G15" s="1802"/>
      <c r="H15" s="1803"/>
      <c r="I15" s="1804"/>
      <c r="J15" s="1804"/>
      <c r="K15" s="1894"/>
    </row>
    <row r="16" spans="1:11" s="1798" customFormat="1" x14ac:dyDescent="0.3">
      <c r="A16" s="1799"/>
      <c r="B16" s="1803"/>
      <c r="C16" s="1801"/>
      <c r="D16" s="1802"/>
      <c r="E16" s="1802"/>
      <c r="F16" s="1802"/>
      <c r="G16" s="1802"/>
      <c r="H16" s="1803"/>
      <c r="I16" s="1804"/>
      <c r="J16" s="1804"/>
      <c r="K16" s="1891"/>
    </row>
    <row r="17" spans="1:13" s="1798" customFormat="1" ht="18.75" customHeight="1" x14ac:dyDescent="0.3">
      <c r="A17" s="1799">
        <v>4</v>
      </c>
      <c r="B17" s="1805" t="s">
        <v>2046</v>
      </c>
      <c r="C17" s="1810"/>
      <c r="D17" s="1802"/>
      <c r="E17" s="1802"/>
      <c r="F17" s="1802"/>
      <c r="G17" s="1802">
        <v>58</v>
      </c>
      <c r="H17" s="1803" t="s">
        <v>1131</v>
      </c>
      <c r="I17" s="1804">
        <f>'VC 200'!I17</f>
        <v>60670.400000000001</v>
      </c>
      <c r="J17" s="1804" t="s">
        <v>486</v>
      </c>
      <c r="K17" s="1891">
        <f>ROUND((G17*I17/1000),0)</f>
        <v>3519</v>
      </c>
    </row>
    <row r="18" spans="1:13" s="1798" customFormat="1" x14ac:dyDescent="0.3">
      <c r="A18" s="1799"/>
      <c r="B18" s="1803"/>
      <c r="C18" s="1801"/>
      <c r="D18" s="1802"/>
      <c r="E18" s="1802"/>
      <c r="F18" s="1802"/>
      <c r="G18" s="1802"/>
      <c r="H18" s="1803"/>
      <c r="I18" s="1804"/>
      <c r="J18" s="1804"/>
      <c r="K18" s="1891"/>
    </row>
    <row r="19" spans="1:13" s="1798" customFormat="1" x14ac:dyDescent="0.3">
      <c r="A19" s="1799">
        <v>5</v>
      </c>
      <c r="B19" s="1803" t="s">
        <v>2036</v>
      </c>
      <c r="C19" s="1801"/>
      <c r="D19" s="1802"/>
      <c r="E19" s="1802"/>
      <c r="F19" s="1802"/>
      <c r="G19" s="1802"/>
      <c r="H19" s="1803"/>
      <c r="I19" s="1804"/>
      <c r="J19" s="1804"/>
      <c r="K19" s="1891">
        <f>ROUND(SUM(K7:K17)*0.5,0)</f>
        <v>12439</v>
      </c>
    </row>
    <row r="20" spans="1:13" s="1798" customFormat="1" x14ac:dyDescent="0.3">
      <c r="A20" s="1811"/>
      <c r="B20" s="1812"/>
      <c r="C20" s="1812"/>
      <c r="D20" s="1814"/>
      <c r="E20" s="1814"/>
      <c r="F20" s="1814"/>
      <c r="G20" s="1814"/>
      <c r="H20" s="1812"/>
      <c r="I20" s="1815"/>
      <c r="J20" s="1815"/>
      <c r="K20" s="1895"/>
    </row>
    <row r="21" spans="1:13" s="1798" customFormat="1" x14ac:dyDescent="0.3">
      <c r="A21" s="1826"/>
      <c r="B21" s="1817" t="s">
        <v>2037</v>
      </c>
      <c r="C21" s="1819"/>
      <c r="D21" s="1827"/>
      <c r="E21" s="1827"/>
      <c r="F21" s="1827"/>
      <c r="G21" s="1827"/>
      <c r="H21" s="1819"/>
      <c r="I21" s="1820"/>
      <c r="J21" s="1820"/>
      <c r="K21" s="1896">
        <f>ROUND(SUM(K7:K19),0)</f>
        <v>37317</v>
      </c>
    </row>
    <row r="22" spans="1:13" ht="16.5" x14ac:dyDescent="0.3">
      <c r="A22" s="1831"/>
      <c r="B22" s="1794"/>
      <c r="C22" s="1794"/>
      <c r="D22" s="1794"/>
      <c r="E22" s="1794"/>
      <c r="F22" s="1794"/>
      <c r="G22" s="1794"/>
      <c r="H22" s="1794"/>
      <c r="I22" s="1794"/>
      <c r="J22" s="1794"/>
      <c r="K22" s="1794"/>
      <c r="M22" s="1908">
        <f>K21-K19</f>
        <v>24878</v>
      </c>
    </row>
    <row r="23" spans="1:13" ht="16.5" x14ac:dyDescent="0.3">
      <c r="A23" s="1831"/>
      <c r="B23" s="1794"/>
      <c r="C23" s="1794"/>
      <c r="D23" s="1794"/>
      <c r="E23" s="1794"/>
      <c r="F23" s="1794"/>
      <c r="G23" s="1794"/>
      <c r="H23" s="1794"/>
      <c r="I23" s="1794"/>
      <c r="J23" s="1794"/>
      <c r="K23" s="1794"/>
    </row>
    <row r="24" spans="1:13" ht="16.5" x14ac:dyDescent="0.3">
      <c r="A24" s="1831"/>
      <c r="B24" s="1794"/>
      <c r="C24" s="1794"/>
      <c r="D24" s="1794"/>
      <c r="E24" s="1794"/>
      <c r="F24" s="1794"/>
      <c r="G24" s="1794"/>
      <c r="H24" s="1794"/>
      <c r="I24" s="1794"/>
      <c r="J24" s="1794"/>
      <c r="K24" s="1794"/>
    </row>
    <row r="25" spans="1:13" x14ac:dyDescent="0.3">
      <c r="A25" s="1794"/>
      <c r="B25" s="1824"/>
      <c r="C25" s="1824"/>
      <c r="D25" s="1825"/>
      <c r="E25" s="1825"/>
      <c r="F25" s="1794"/>
      <c r="G25" s="1794"/>
      <c r="H25" s="1794"/>
      <c r="I25" s="1794"/>
      <c r="J25" s="1794"/>
      <c r="K25" s="1794"/>
    </row>
    <row r="26" spans="1:13" x14ac:dyDescent="0.3">
      <c r="A26" s="1794"/>
      <c r="B26" s="1794"/>
      <c r="C26" s="1824"/>
      <c r="D26" s="1825"/>
      <c r="E26" s="1825"/>
      <c r="F26" s="1794"/>
      <c r="G26" s="1794"/>
      <c r="H26" s="1794"/>
      <c r="I26" s="1794"/>
      <c r="J26" s="1794"/>
      <c r="K26" s="1794"/>
    </row>
    <row r="27" spans="1:13" x14ac:dyDescent="0.3">
      <c r="A27" s="1794"/>
      <c r="B27" s="1794"/>
      <c r="C27" s="1824"/>
      <c r="D27" s="1794"/>
      <c r="E27" s="1794"/>
      <c r="F27" s="1794"/>
      <c r="G27" s="1794"/>
      <c r="H27" s="1794"/>
      <c r="I27" s="1794"/>
      <c r="J27" s="1794"/>
      <c r="K27" s="1794"/>
    </row>
    <row r="28" spans="1:13" x14ac:dyDescent="0.3">
      <c r="A28" s="1794"/>
      <c r="B28" s="1794"/>
      <c r="C28" s="1824"/>
      <c r="D28" s="1794"/>
      <c r="E28" s="1794"/>
      <c r="F28" s="1794"/>
      <c r="G28" s="1794"/>
      <c r="H28" s="1794"/>
      <c r="I28" s="1794"/>
      <c r="J28" s="1794"/>
      <c r="K28" s="1794"/>
    </row>
  </sheetData>
  <mergeCells count="3">
    <mergeCell ref="A1:K1"/>
    <mergeCell ref="A2:K2"/>
    <mergeCell ref="A3:K3"/>
  </mergeCells>
  <pageMargins left="0.7" right="0.7" top="0.75" bottom="0.75" header="0.3" footer="0.3"/>
  <pageSetup scale="84" orientation="portrait" verticalDpi="0"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0"/>
  <sheetViews>
    <sheetView topLeftCell="W1" workbookViewId="0">
      <selection activeCell="Z5" sqref="Z5"/>
    </sheetView>
  </sheetViews>
  <sheetFormatPr defaultRowHeight="15" x14ac:dyDescent="0.25"/>
  <cols>
    <col min="1" max="21" width="8.5703125" hidden="1" customWidth="1"/>
    <col min="22" max="22" width="18.28515625" hidden="1" customWidth="1"/>
    <col min="23" max="28" width="18.28515625" customWidth="1"/>
  </cols>
  <sheetData>
    <row r="1" spans="1:12" x14ac:dyDescent="0.25">
      <c r="B1" s="1890" t="str">
        <f>'CI specials'!C1</f>
        <v>with SSR</v>
      </c>
      <c r="C1" s="1890" t="str">
        <f>'CI specials'!D1</f>
        <v>2016-17</v>
      </c>
    </row>
    <row r="3" spans="1:12" x14ac:dyDescent="0.25">
      <c r="A3" s="97" t="s">
        <v>158</v>
      </c>
    </row>
    <row r="4" spans="1:12" x14ac:dyDescent="0.25">
      <c r="A4" s="2" t="s">
        <v>2</v>
      </c>
      <c r="D4" s="29">
        <f>Design!F6</f>
        <v>2015</v>
      </c>
      <c r="E4" s="1">
        <f>+ROUNDUP((((1+Design!F4*0.01)^(Design!F6-2011))*Design!F2),0)</f>
        <v>20416</v>
      </c>
    </row>
    <row r="5" spans="1:12" x14ac:dyDescent="0.25">
      <c r="A5" s="14" t="s">
        <v>3</v>
      </c>
      <c r="D5" s="29">
        <f>Design!F6+10+2</f>
        <v>2027</v>
      </c>
      <c r="E5" s="1">
        <f>+ROUNDUP((((1+Design!F4*0.01)^(RAM!D5-Design!F6))*RAM!E4),0)</f>
        <v>23006</v>
      </c>
    </row>
    <row r="6" spans="1:12" x14ac:dyDescent="0.25">
      <c r="A6" s="193" t="s">
        <v>5</v>
      </c>
      <c r="D6" s="29">
        <f>+D5+10</f>
        <v>2037</v>
      </c>
      <c r="E6" s="1">
        <f>+ROUNDUP((((1+Design!F4*0.01)^(RAM!D6-Design!F6))*RAM!E4),0)</f>
        <v>25413</v>
      </c>
    </row>
    <row r="8" spans="1:12" x14ac:dyDescent="0.25">
      <c r="A8" t="s">
        <v>159</v>
      </c>
      <c r="E8" s="11">
        <f>Design!F83*1.5</f>
        <v>2.4300000000000002</v>
      </c>
    </row>
    <row r="13" spans="1:12" x14ac:dyDescent="0.25">
      <c r="G13" s="2013" t="s">
        <v>2024</v>
      </c>
      <c r="H13" s="2013"/>
      <c r="I13" s="2013"/>
      <c r="J13" s="2013"/>
      <c r="K13" s="2013"/>
      <c r="L13" s="2013"/>
    </row>
    <row r="14" spans="1:12" x14ac:dyDescent="0.25">
      <c r="B14" s="194" t="s">
        <v>160</v>
      </c>
      <c r="G14" s="195" t="s">
        <v>161</v>
      </c>
      <c r="H14" s="196">
        <f>'Sump Dome'!C17+'Sump Dome'!C23+'Sump Dome'!I24+'Sump Dome'!I25</f>
        <v>4.2</v>
      </c>
      <c r="I14" s="197">
        <f>+IF(H14&gt;=3,3,H14)</f>
        <v>3</v>
      </c>
      <c r="J14" s="91"/>
      <c r="K14" s="198" t="s">
        <v>135</v>
      </c>
      <c r="L14" s="91"/>
    </row>
    <row r="15" spans="1:12" x14ac:dyDescent="0.25">
      <c r="B15" t="s">
        <v>123</v>
      </c>
      <c r="E15" s="199">
        <f>'Sump Dome'!C19</f>
        <v>0.2</v>
      </c>
      <c r="G15" s="200" t="s">
        <v>162</v>
      </c>
      <c r="H15" s="196">
        <f>+H14-I14</f>
        <v>1.2000000000000002</v>
      </c>
      <c r="I15" s="197">
        <f>+IF(H15&gt;=3,3,H15)</f>
        <v>1.2000000000000002</v>
      </c>
      <c r="J15" s="91"/>
      <c r="K15" s="201">
        <f>+LOOKUP('Sump Dome'!H6,RAM!$B$67:$B$90,RAM!$C$67:$C90)</f>
        <v>250</v>
      </c>
      <c r="L15" s="91"/>
    </row>
    <row r="16" spans="1:12" x14ac:dyDescent="0.25">
      <c r="B16" t="s">
        <v>163</v>
      </c>
      <c r="E16" s="202">
        <f>'Sump Dome'!C12</f>
        <v>0.3</v>
      </c>
      <c r="G16" s="200" t="s">
        <v>164</v>
      </c>
      <c r="H16" s="196">
        <f>+H15-I15</f>
        <v>0</v>
      </c>
      <c r="I16" s="197">
        <f>+IF(H16&gt;=3,3,H16)</f>
        <v>0</v>
      </c>
      <c r="J16" s="203" t="s">
        <v>165</v>
      </c>
      <c r="K16" s="204">
        <f>+INT('Sump Dome'!C17/2)</f>
        <v>1</v>
      </c>
      <c r="L16" s="205">
        <f>+ROUND(LOOKUP($K$15,$E$67:$E$78,$H$67:$H$78)*K16,0)</f>
        <v>13826</v>
      </c>
    </row>
    <row r="17" spans="2:19" x14ac:dyDescent="0.25">
      <c r="B17" t="s">
        <v>166</v>
      </c>
      <c r="E17" s="202">
        <f>'Sump Dome'!C11</f>
        <v>0.3</v>
      </c>
      <c r="G17" s="200" t="s">
        <v>167</v>
      </c>
      <c r="H17" s="196">
        <f>+H14-I14-I15-I16</f>
        <v>0</v>
      </c>
      <c r="I17" s="197">
        <f>+IF(H17&gt;=3,3,H17)</f>
        <v>0</v>
      </c>
      <c r="J17" s="206" t="s">
        <v>168</v>
      </c>
      <c r="K17" s="204">
        <f>+INT(('Sump Dome'!C17-K16*2+1)/0.9)</f>
        <v>2</v>
      </c>
      <c r="L17" s="205">
        <f>+ROUND(LOOKUP($K$15,$E$67:$E$78,$G$67:$G$78)*K17,0)</f>
        <v>14389</v>
      </c>
    </row>
    <row r="18" spans="2:19" x14ac:dyDescent="0.25">
      <c r="B18" t="s">
        <v>169</v>
      </c>
      <c r="E18" s="199">
        <f>'Sump Dome'!C8</f>
        <v>0.1</v>
      </c>
      <c r="J18" s="206" t="s">
        <v>170</v>
      </c>
      <c r="K18" s="204">
        <f>+INT(('Sump Dome'!C17-K16*2-K17*0.9+1)/0.6)+2</f>
        <v>2</v>
      </c>
      <c r="L18" s="205">
        <f>+ROUND(LOOKUP($K$15,$E$67:$E$78,$F$67:$F$78)*K18,0)</f>
        <v>10772</v>
      </c>
    </row>
    <row r="19" spans="2:19" x14ac:dyDescent="0.25">
      <c r="J19" s="206" t="s">
        <v>171</v>
      </c>
      <c r="K19" s="204">
        <v>1</v>
      </c>
      <c r="L19" s="205">
        <f>+ROUND(LOOKUP($K$15,$E$67:$E$78,$J$67:$J$78)*K19,0)</f>
        <v>2285</v>
      </c>
    </row>
    <row r="20" spans="2:19" x14ac:dyDescent="0.25">
      <c r="J20" s="207" t="s">
        <v>172</v>
      </c>
      <c r="K20" s="204">
        <v>1</v>
      </c>
      <c r="L20" s="205">
        <f>+ROUND(LOOKUP($K$15,$E$67:$E$78,$I$67:$I$78)*K20,0)</f>
        <v>8181</v>
      </c>
    </row>
    <row r="21" spans="2:19" x14ac:dyDescent="0.25">
      <c r="J21" s="91"/>
      <c r="K21" s="91" t="s">
        <v>173</v>
      </c>
      <c r="L21" s="208">
        <f>ROUND(SUM(L16:L20),0)</f>
        <v>49453</v>
      </c>
    </row>
    <row r="22" spans="2:19" x14ac:dyDescent="0.25">
      <c r="B22" s="194" t="s">
        <v>174</v>
      </c>
      <c r="J22" s="90"/>
      <c r="K22" s="90"/>
      <c r="L22" s="209"/>
      <c r="Q22" s="90"/>
      <c r="R22" s="90"/>
      <c r="S22" s="209"/>
    </row>
    <row r="23" spans="2:19" x14ac:dyDescent="0.25">
      <c r="B23" t="s">
        <v>123</v>
      </c>
      <c r="E23" s="199">
        <f>'Sump 60kl Flat'!C24</f>
        <v>0.1</v>
      </c>
      <c r="G23" s="195" t="s">
        <v>161</v>
      </c>
      <c r="H23" s="196">
        <f>'Sump 60kl Flat'!C22+'Sump 60kl Flat'!C28+'Sump 60kl Flat'!I29+'Sump 60kl Flat'!I30</f>
        <v>3.0999999999999996</v>
      </c>
      <c r="I23" s="197">
        <f>+IF(H23&gt;=3,3,H23)</f>
        <v>3</v>
      </c>
      <c r="J23" s="91"/>
      <c r="K23" s="198" t="s">
        <v>135</v>
      </c>
      <c r="L23" s="91"/>
      <c r="Q23" s="90"/>
      <c r="R23" s="90"/>
      <c r="S23" s="209"/>
    </row>
    <row r="24" spans="2:19" x14ac:dyDescent="0.25">
      <c r="B24" t="s">
        <v>175</v>
      </c>
      <c r="E24" s="199">
        <f>'Sump 60kl Flat'!C17</f>
        <v>0.15</v>
      </c>
      <c r="G24" s="200" t="s">
        <v>162</v>
      </c>
      <c r="H24" s="196">
        <f>+H23-I23</f>
        <v>9.9999999999999645E-2</v>
      </c>
      <c r="I24" s="197">
        <f>+IF(H24&gt;=3,3,H24)</f>
        <v>9.9999999999999645E-2</v>
      </c>
      <c r="J24" s="91"/>
      <c r="K24" s="201">
        <f ca="1">+LOOKUP('Sump 60kl Flat'!M7,RAM!$B$67:$B$90,RAM!$C$67:$C117)</f>
        <v>150</v>
      </c>
      <c r="L24" s="91"/>
      <c r="Q24" s="90"/>
      <c r="R24" s="90"/>
      <c r="S24" s="209"/>
    </row>
    <row r="25" spans="2:19" x14ac:dyDescent="0.25">
      <c r="G25" s="200" t="s">
        <v>164</v>
      </c>
      <c r="H25" s="196">
        <f>+H24-I24</f>
        <v>0</v>
      </c>
      <c r="I25" s="197">
        <f>+IF(H25&gt;=3,3,H25)</f>
        <v>0</v>
      </c>
      <c r="J25" s="203" t="s">
        <v>165</v>
      </c>
      <c r="K25" s="204">
        <f>+INT('Sump 60kl Flat'!C22/2)</f>
        <v>1</v>
      </c>
      <c r="L25" s="205">
        <f ca="1">+ROUND(LOOKUP($K$24,$E$67:$E$78,$H$67:$H$78)*K25,0)</f>
        <v>7119</v>
      </c>
      <c r="Q25" s="90"/>
      <c r="R25" s="90"/>
      <c r="S25" s="209"/>
    </row>
    <row r="26" spans="2:19" x14ac:dyDescent="0.25">
      <c r="G26" s="200" t="s">
        <v>167</v>
      </c>
      <c r="H26" s="196">
        <f>+H23-I23-I24-I25</f>
        <v>0</v>
      </c>
      <c r="I26" s="197">
        <f>+IF(H26&gt;=3,3,H26)</f>
        <v>0</v>
      </c>
      <c r="J26" s="206" t="s">
        <v>168</v>
      </c>
      <c r="K26" s="204">
        <f>+INT(('Sump 60kl Flat'!C22-K25*2+1)/0.9)</f>
        <v>1</v>
      </c>
      <c r="L26" s="205">
        <f ca="1">+ROUND(LOOKUP($K$24,$E$67:$E$78,$G$67:$G$78)*K26,0)</f>
        <v>3747</v>
      </c>
      <c r="Q26" s="90"/>
      <c r="R26" s="90"/>
      <c r="S26" s="209"/>
    </row>
    <row r="27" spans="2:19" x14ac:dyDescent="0.25">
      <c r="J27" s="206" t="s">
        <v>170</v>
      </c>
      <c r="K27" s="204">
        <f>+INT(('Sump 60kl Flat'!C22-K25*2-K26*0.9+1)/0.6)+2</f>
        <v>2</v>
      </c>
      <c r="L27" s="205">
        <f ca="1">+ROUND(LOOKUP($K$24,$E$67:$E$78,$F$67:$F$78)*K27,0)</f>
        <v>5654</v>
      </c>
      <c r="Q27" s="90"/>
      <c r="R27" s="90"/>
      <c r="S27" s="209"/>
    </row>
    <row r="28" spans="2:19" x14ac:dyDescent="0.25">
      <c r="J28" s="206" t="s">
        <v>171</v>
      </c>
      <c r="K28" s="204">
        <v>1</v>
      </c>
      <c r="L28" s="205">
        <f ca="1">+ROUND(LOOKUP($K$24,$E$67:$E$78,$J$67:$J$78)*K28,0)</f>
        <v>1106</v>
      </c>
    </row>
    <row r="29" spans="2:19" x14ac:dyDescent="0.25">
      <c r="J29" s="207" t="s">
        <v>172</v>
      </c>
      <c r="K29" s="204">
        <v>1</v>
      </c>
      <c r="L29" s="205">
        <f ca="1">+ROUND(LOOKUP($K$24,$E$67:$E$78,$I$67:$I$78)*K29,0)</f>
        <v>3464</v>
      </c>
    </row>
    <row r="30" spans="2:19" x14ac:dyDescent="0.25">
      <c r="J30" s="91"/>
      <c r="K30" s="91" t="s">
        <v>173</v>
      </c>
      <c r="L30" s="208">
        <f ca="1">ROUND(SUM(L25:L29),0)</f>
        <v>21090</v>
      </c>
    </row>
    <row r="31" spans="2:19" x14ac:dyDescent="0.25">
      <c r="J31" s="90"/>
      <c r="K31" s="90"/>
      <c r="L31" s="209"/>
    </row>
    <row r="32" spans="2:19" x14ac:dyDescent="0.25">
      <c r="B32" s="194" t="s">
        <v>176</v>
      </c>
      <c r="J32" s="90"/>
      <c r="K32" s="90"/>
      <c r="L32" s="209"/>
    </row>
    <row r="33" spans="2:19" x14ac:dyDescent="0.25">
      <c r="B33" t="s">
        <v>123</v>
      </c>
      <c r="E33" s="199">
        <f>'GLBR Dome'!C19</f>
        <v>0.1</v>
      </c>
      <c r="G33" s="195" t="s">
        <v>161</v>
      </c>
      <c r="H33" s="196">
        <f>+'GLBR Dome'!I22+'GLBR Dome'!C23+'GLBR Dome'!I24+'GLBR Dome'!I25</f>
        <v>1.5</v>
      </c>
      <c r="I33" s="197">
        <f>+IF(H33&gt;=3,3,H33)</f>
        <v>1.5</v>
      </c>
      <c r="J33" s="90"/>
      <c r="K33" s="90"/>
      <c r="L33" s="209"/>
    </row>
    <row r="34" spans="2:19" x14ac:dyDescent="0.25">
      <c r="B34" t="s">
        <v>163</v>
      </c>
      <c r="E34" s="202">
        <f>'GLBR Dome'!C12</f>
        <v>0.15</v>
      </c>
      <c r="G34" s="200" t="s">
        <v>162</v>
      </c>
      <c r="H34" s="196">
        <f>+H33-I33</f>
        <v>0</v>
      </c>
      <c r="I34" s="197">
        <f>+IF(H34&gt;=3,3,H34)</f>
        <v>0</v>
      </c>
      <c r="J34" s="90"/>
      <c r="K34" s="90"/>
      <c r="L34" s="209"/>
    </row>
    <row r="35" spans="2:19" x14ac:dyDescent="0.25">
      <c r="B35" t="s">
        <v>166</v>
      </c>
      <c r="E35" s="202">
        <f>'GLBR Dome'!C11</f>
        <v>0.15000000000000002</v>
      </c>
      <c r="G35" s="200" t="s">
        <v>164</v>
      </c>
      <c r="H35" s="196">
        <f>+H34-I34</f>
        <v>0</v>
      </c>
      <c r="I35" s="197">
        <f>+IF(H35&gt;=3,3,H35)</f>
        <v>0</v>
      </c>
      <c r="J35" s="90"/>
      <c r="K35" s="90"/>
      <c r="L35" s="209"/>
    </row>
    <row r="36" spans="2:19" x14ac:dyDescent="0.25">
      <c r="B36" t="s">
        <v>169</v>
      </c>
      <c r="E36" s="199">
        <f>'GLBR Dome'!C8</f>
        <v>0.1</v>
      </c>
      <c r="G36" s="200" t="s">
        <v>167</v>
      </c>
      <c r="H36" s="196">
        <f>+H33-I33-I34-I35</f>
        <v>0</v>
      </c>
      <c r="I36" s="197">
        <f>+IF(H36&gt;=3,3,H36)</f>
        <v>0</v>
      </c>
      <c r="J36" s="90"/>
      <c r="K36" s="90"/>
      <c r="L36" s="209"/>
    </row>
    <row r="37" spans="2:19" x14ac:dyDescent="0.25">
      <c r="J37" s="90"/>
      <c r="K37" s="90"/>
      <c r="L37" s="209"/>
    </row>
    <row r="38" spans="2:19" x14ac:dyDescent="0.25">
      <c r="J38" s="90"/>
      <c r="K38" s="90"/>
      <c r="L38" s="209"/>
    </row>
    <row r="39" spans="2:19" x14ac:dyDescent="0.25">
      <c r="B39" s="194" t="s">
        <v>177</v>
      </c>
      <c r="J39" s="90"/>
      <c r="K39" s="90"/>
      <c r="L39" s="209"/>
    </row>
    <row r="40" spans="2:19" x14ac:dyDescent="0.25">
      <c r="B40" t="s">
        <v>123</v>
      </c>
      <c r="E40" s="199">
        <f>'GLBR flat'!C24</f>
        <v>0.1</v>
      </c>
      <c r="G40" s="195" t="s">
        <v>161</v>
      </c>
      <c r="H40" s="196">
        <f>+'GLBR flat'!I27+'GLBR flat'!C28+'GLBR flat'!I29+'GLBR flat'!I30</f>
        <v>1.35</v>
      </c>
      <c r="I40" s="197">
        <f>+IF(H40&gt;=3,3,H40)</f>
        <v>1.35</v>
      </c>
      <c r="J40" s="90"/>
      <c r="K40" s="90"/>
      <c r="L40" s="209"/>
    </row>
    <row r="41" spans="2:19" x14ac:dyDescent="0.25">
      <c r="B41" t="s">
        <v>175</v>
      </c>
      <c r="E41" s="199">
        <f>'GLBR flat'!C17</f>
        <v>0.15000000000000002</v>
      </c>
      <c r="G41" s="200" t="s">
        <v>162</v>
      </c>
      <c r="H41" s="196">
        <f>+H40-I40</f>
        <v>0</v>
      </c>
      <c r="I41" s="197">
        <f>+IF(H41&gt;=3,3,H41)</f>
        <v>0</v>
      </c>
      <c r="J41" s="90"/>
      <c r="K41" s="90"/>
      <c r="L41" s="209"/>
    </row>
    <row r="42" spans="2:19" x14ac:dyDescent="0.25">
      <c r="E42" s="210"/>
      <c r="G42" s="200" t="s">
        <v>164</v>
      </c>
      <c r="H42" s="196">
        <f>+H41-I41</f>
        <v>0</v>
      </c>
      <c r="I42" s="197">
        <f>+IF(H42&gt;=3,3,H42)</f>
        <v>0</v>
      </c>
      <c r="J42" s="90"/>
      <c r="K42" s="90"/>
      <c r="L42" s="209"/>
    </row>
    <row r="43" spans="2:19" x14ac:dyDescent="0.25">
      <c r="E43" s="211"/>
      <c r="G43" s="200" t="s">
        <v>167</v>
      </c>
      <c r="H43" s="196">
        <f>+H40-I40-I41-I42</f>
        <v>0</v>
      </c>
      <c r="I43" s="197">
        <f>+IF(H43&gt;=3,3,H43)</f>
        <v>0</v>
      </c>
      <c r="J43" s="90"/>
      <c r="K43" s="90"/>
      <c r="L43" s="209"/>
    </row>
    <row r="44" spans="2:19" x14ac:dyDescent="0.25">
      <c r="B44" s="212"/>
      <c r="C44" s="213" t="s">
        <v>159</v>
      </c>
      <c r="D44" s="214"/>
      <c r="E44" s="214"/>
      <c r="F44" s="214"/>
      <c r="G44" s="215"/>
    </row>
    <row r="45" spans="2:19" x14ac:dyDescent="0.25">
      <c r="B45" s="216"/>
      <c r="C45" s="217">
        <f>RSF!C62</f>
        <v>5</v>
      </c>
      <c r="D45" s="90"/>
      <c r="E45" s="90"/>
      <c r="F45" s="2020" t="s">
        <v>178</v>
      </c>
      <c r="G45" s="2020"/>
      <c r="I45" s="218">
        <f>Data!I4</f>
        <v>0.2</v>
      </c>
      <c r="J45" s="2021" t="s">
        <v>179</v>
      </c>
      <c r="L45" s="219" t="s">
        <v>180</v>
      </c>
    </row>
    <row r="46" spans="2:19" x14ac:dyDescent="0.25">
      <c r="B46" s="204">
        <f>+LOOKUP(C45,SSR!C53:C58,SSR!B53:B58)</f>
        <v>2</v>
      </c>
      <c r="C46" s="204">
        <f>+LOOKUP(D46,F46:F51,G46:G51)</f>
        <v>5</v>
      </c>
      <c r="D46" s="220">
        <f>+LOOKUP(C45,SSR!C53:C58,RAM!I46:I51)</f>
        <v>4.01</v>
      </c>
      <c r="E46" s="90"/>
      <c r="F46" s="221">
        <f>+I51</f>
        <v>2.71</v>
      </c>
      <c r="G46" s="222">
        <f>SSR!C58</f>
        <v>40</v>
      </c>
      <c r="I46" s="223">
        <f>+ROUND(SSR!D53*IF($I$45=0%,1,1),3)</f>
        <v>4.8499999999999996</v>
      </c>
      <c r="J46" s="2022"/>
      <c r="L46" s="224" t="s">
        <v>181</v>
      </c>
      <c r="M46" s="225" t="str">
        <f>+IF(RSF!C62&gt;5,"Separate Chemical house has to be provided as SSR 2011-2012.","-")</f>
        <v>-</v>
      </c>
      <c r="N46" s="224"/>
      <c r="O46" s="224"/>
      <c r="P46" s="224"/>
      <c r="Q46" s="224"/>
      <c r="R46" s="224"/>
      <c r="S46" s="224"/>
    </row>
    <row r="47" spans="2:19" x14ac:dyDescent="0.25">
      <c r="B47" s="204">
        <f>+B46+1</f>
        <v>3</v>
      </c>
      <c r="C47" s="204">
        <f>+LOOKUP(B47,SSR!B53:B58,SSR!C53:C58)</f>
        <v>10</v>
      </c>
      <c r="D47" s="204">
        <f>+LOOKUP(C47,SSR!C53:C58,RAM!I46:I51)</f>
        <v>3.53</v>
      </c>
      <c r="E47" s="90"/>
      <c r="F47" s="1790">
        <f>RAM!I50</f>
        <v>2.71</v>
      </c>
      <c r="G47" s="222">
        <f>SSR!C57</f>
        <v>30</v>
      </c>
      <c r="I47" s="223">
        <f>+ROUND(SSR!D54*IF($I$45=0%,1,1),3)</f>
        <v>4.01</v>
      </c>
      <c r="J47" s="2022"/>
      <c r="L47" s="224" t="s">
        <v>182</v>
      </c>
      <c r="M47" s="2024" t="str">
        <f>+IF(RSF!C62&gt;=15,"Separate Isolated chemical house &amp; chlorinator room for treatment 15.00 mld &amp; above are to be provided as per SSR 2011-2012","-")</f>
        <v>-</v>
      </c>
      <c r="N47" s="2024"/>
      <c r="O47" s="224"/>
      <c r="P47" s="224"/>
      <c r="Q47" s="224"/>
      <c r="R47" s="224"/>
      <c r="S47" s="224"/>
    </row>
    <row r="48" spans="2:19" x14ac:dyDescent="0.25">
      <c r="B48" s="216"/>
      <c r="C48" s="204">
        <f>+C47-C46</f>
        <v>5</v>
      </c>
      <c r="D48" s="204">
        <f>+D47-D46</f>
        <v>-0.48</v>
      </c>
      <c r="E48" s="90"/>
      <c r="F48" s="221">
        <f>+I49</f>
        <v>3.09</v>
      </c>
      <c r="G48" s="222">
        <f>SSR!C56</f>
        <v>20</v>
      </c>
      <c r="I48" s="223">
        <f>+ROUND(SSR!D55*IF($I$45=0%,1,1),3)</f>
        <v>3.53</v>
      </c>
      <c r="J48" s="2022"/>
      <c r="L48" s="91" t="s">
        <v>183</v>
      </c>
      <c r="M48" s="2024" t="str">
        <f>+IF(RSF!C62&gt;=5," Clariflucculator bridge including sludge srcapping arrangement shall be with stainless steel of Grade 304 for chemical resistance and durability are to be provided as per SSR 2011-2012.","-")</f>
        <v xml:space="preserve"> Clariflucculator bridge including sludge srcapping arrangement shall be with stainless steel of Grade 304 for chemical resistance and durability are to be provided as per SSR 2011-2012.</v>
      </c>
      <c r="N48" s="2024"/>
      <c r="O48" s="91"/>
      <c r="P48" s="91"/>
      <c r="Q48" s="91"/>
      <c r="R48" s="91"/>
      <c r="S48" s="91"/>
    </row>
    <row r="49" spans="2:21" x14ac:dyDescent="0.25">
      <c r="B49" s="216"/>
      <c r="C49" s="226">
        <f>+C45-C46</f>
        <v>0</v>
      </c>
      <c r="D49" s="220">
        <f>+ROUND((C49/C48)*D48,3)</f>
        <v>0</v>
      </c>
      <c r="E49" s="90"/>
      <c r="F49" s="221">
        <f>+I48</f>
        <v>3.53</v>
      </c>
      <c r="G49" s="222">
        <f>SSR!C55</f>
        <v>10</v>
      </c>
      <c r="I49" s="223">
        <f>+ROUND(SSR!D56*IF($I$45=0%,1,1),3)</f>
        <v>3.09</v>
      </c>
      <c r="J49" s="2022"/>
    </row>
    <row r="50" spans="2:21" x14ac:dyDescent="0.25">
      <c r="B50" s="216"/>
      <c r="C50" s="226">
        <f>+C45</f>
        <v>5</v>
      </c>
      <c r="D50" s="220">
        <f>+D46+D49</f>
        <v>4.01</v>
      </c>
      <c r="E50" s="90"/>
      <c r="F50" s="1790">
        <f>RAM!I47</f>
        <v>4.01</v>
      </c>
      <c r="G50" s="222">
        <f>SSR!C54</f>
        <v>5</v>
      </c>
      <c r="I50" s="223">
        <f>+ROUND(SSR!D57*IF($I$45=0%,1,1),3)</f>
        <v>2.71</v>
      </c>
      <c r="J50" s="2022"/>
      <c r="L50" s="227" t="s">
        <v>184</v>
      </c>
      <c r="M50" s="227" t="s">
        <v>185</v>
      </c>
      <c r="N50" s="228" t="s">
        <v>186</v>
      </c>
    </row>
    <row r="51" spans="2:21" x14ac:dyDescent="0.25">
      <c r="B51" s="229"/>
      <c r="C51" s="141"/>
      <c r="D51" s="141"/>
      <c r="E51" s="141"/>
      <c r="F51" s="1790">
        <f>RAM!I46</f>
        <v>4.8499999999999996</v>
      </c>
      <c r="G51" s="222">
        <f>SSR!C53</f>
        <v>2</v>
      </c>
      <c r="I51" s="223">
        <f>+ROUND(SSR!D58*IF($I$45=0%,1,1),3)</f>
        <v>2.71</v>
      </c>
      <c r="J51" s="2023"/>
      <c r="L51" s="230"/>
      <c r="M51" s="230"/>
      <c r="N51" s="230"/>
    </row>
    <row r="52" spans="2:21" x14ac:dyDescent="0.25">
      <c r="I52" s="231">
        <f>+Data!I4</f>
        <v>0.2</v>
      </c>
      <c r="J52" s="2021" t="s">
        <v>187</v>
      </c>
      <c r="L52" s="230">
        <v>10000</v>
      </c>
      <c r="M52" s="230">
        <v>2.5</v>
      </c>
      <c r="N52" s="232" t="s">
        <v>188</v>
      </c>
      <c r="U52" s="233"/>
    </row>
    <row r="53" spans="2:21" x14ac:dyDescent="0.25">
      <c r="I53" s="234">
        <f>+ROUND(SSR!C63*IF($I$52=0%,1,1),3)</f>
        <v>65.56</v>
      </c>
      <c r="J53" s="2022"/>
      <c r="L53" s="230">
        <v>15000</v>
      </c>
      <c r="M53" s="230">
        <v>2.5</v>
      </c>
      <c r="N53" s="232" t="s">
        <v>188</v>
      </c>
      <c r="O53" s="235" t="str">
        <f>+CONCATENATE(IF('Single column'!F61&lt;10,"E) Deduct for staging below 10 Mts by .05 Paise per Lt",IF('Single column'!F61=10,"-----","E) Add for staging above 10Mts by .10 paise per Lts.")))</f>
        <v>E) Deduct for staging below 10 Mts by .05 Paise per Lt</v>
      </c>
      <c r="P53" s="236"/>
      <c r="Q53" s="236"/>
      <c r="R53" s="236"/>
      <c r="S53" s="236"/>
      <c r="T53" s="237">
        <f>+IF('Single column'!F63&lt;10,('Single column'!G5-10)*0.05*'Single column'!G4,IF('Single column'!F63=10,0,('Single column'!G5-10)*0.1*'Single column'!G4))</f>
        <v>-2000</v>
      </c>
    </row>
    <row r="54" spans="2:21" x14ac:dyDescent="0.25">
      <c r="B54" s="91" t="s">
        <v>189</v>
      </c>
      <c r="C54" s="91" t="s">
        <v>190</v>
      </c>
      <c r="D54" s="91" t="s">
        <v>191</v>
      </c>
      <c r="I54" s="234">
        <f>+ROUND(SSR!C64*IF($I$52=0%,1,1),3)</f>
        <v>45.09</v>
      </c>
      <c r="J54" s="2022"/>
      <c r="L54" s="238">
        <v>20000</v>
      </c>
      <c r="M54" s="239">
        <v>2</v>
      </c>
      <c r="N54" s="232" t="s">
        <v>188</v>
      </c>
    </row>
    <row r="55" spans="2:21" x14ac:dyDescent="0.25">
      <c r="B55" s="240">
        <v>20000</v>
      </c>
      <c r="C55" s="240">
        <v>9</v>
      </c>
      <c r="D55" s="240">
        <v>42</v>
      </c>
      <c r="I55" s="234">
        <f>+ROUND(SSR!C65*IF($I$52=0%,1,1),3)</f>
        <v>44.31</v>
      </c>
      <c r="J55" s="2022"/>
      <c r="L55" s="238">
        <v>40000</v>
      </c>
      <c r="M55" s="239">
        <v>2.4</v>
      </c>
      <c r="N55" s="232" t="s">
        <v>192</v>
      </c>
      <c r="O55" s="235" t="str">
        <f>+CONCATENATE(IF('OHSR Lit'!F63&lt;10,"E) Deduct for staging below 10 Mts by .05 Paise per Lt",IF('OHSR Lit'!F63=10,"-----","E) Add for staging above 10Mts by .10 paise per Lts.")))</f>
        <v>E) Deduct for staging below 10 Mts by .05 Paise per Lt</v>
      </c>
      <c r="P55" s="236"/>
      <c r="Q55" s="236"/>
      <c r="R55" s="236"/>
      <c r="S55" s="236"/>
      <c r="T55">
        <f>IF('OHSR Lit'!$G$5&lt;=10,(10-'OHSR Lit'!$G$5)*0.05*'OHSR Lit'!$G$4,('OHSR Lit'!$G$5-10)*0.1*'OHSR Lit'!$G$4)</f>
        <v>1200.0000000000011</v>
      </c>
    </row>
    <row r="56" spans="2:21" x14ac:dyDescent="0.25">
      <c r="B56" s="240">
        <v>40000</v>
      </c>
      <c r="C56" s="240">
        <v>9.5500000000000007</v>
      </c>
      <c r="D56" s="240">
        <v>84</v>
      </c>
      <c r="I56" s="234">
        <f>+ROUND(SSR!C66*IF($I$52=0%,1,1),3)</f>
        <v>39.22</v>
      </c>
      <c r="J56" s="2022"/>
      <c r="L56" s="238">
        <v>60000</v>
      </c>
      <c r="M56" s="239">
        <v>2.5</v>
      </c>
      <c r="N56" s="241" t="s">
        <v>193</v>
      </c>
    </row>
    <row r="57" spans="2:21" x14ac:dyDescent="0.25">
      <c r="B57" s="240">
        <v>60000</v>
      </c>
      <c r="C57" s="240">
        <v>9.65</v>
      </c>
      <c r="D57" s="240">
        <v>125</v>
      </c>
      <c r="I57" s="234">
        <f>+ROUND(SSR!C67*IF($I$52=0%,1,1),3)</f>
        <v>29.76</v>
      </c>
      <c r="J57" s="2022"/>
      <c r="L57" s="238">
        <v>90000</v>
      </c>
      <c r="M57" s="239">
        <v>3.15</v>
      </c>
      <c r="N57" s="241" t="s">
        <v>194</v>
      </c>
    </row>
    <row r="58" spans="2:21" x14ac:dyDescent="0.25">
      <c r="B58" s="240">
        <v>90000</v>
      </c>
      <c r="C58" s="240">
        <v>9.5</v>
      </c>
      <c r="D58" s="240">
        <v>188</v>
      </c>
      <c r="I58" s="234">
        <f>+ROUND(SSR!C68*IF($I$52=0%,1,1),3)</f>
        <v>28.042999999999999</v>
      </c>
      <c r="J58" s="2022"/>
      <c r="L58" s="238">
        <v>120000</v>
      </c>
      <c r="M58" s="239">
        <v>3.75</v>
      </c>
      <c r="N58" s="241" t="s">
        <v>194</v>
      </c>
    </row>
    <row r="59" spans="2:21" x14ac:dyDescent="0.25">
      <c r="B59" s="240">
        <v>120000</v>
      </c>
      <c r="C59" s="240">
        <v>9.5</v>
      </c>
      <c r="D59" s="240">
        <v>250</v>
      </c>
      <c r="I59" s="234">
        <f>+ROUND(SSR!C69*IF($I$52=0%,1,1),3)</f>
        <v>26.786000000000001</v>
      </c>
      <c r="J59" s="2022"/>
      <c r="L59" s="238">
        <v>150000</v>
      </c>
      <c r="M59" s="239">
        <v>4.55</v>
      </c>
      <c r="N59" s="241" t="s">
        <v>193</v>
      </c>
    </row>
    <row r="60" spans="2:21" x14ac:dyDescent="0.25">
      <c r="B60" s="240">
        <v>150000</v>
      </c>
      <c r="C60" s="240">
        <v>9.6</v>
      </c>
      <c r="D60" s="240">
        <v>313</v>
      </c>
      <c r="I60" s="234">
        <f>+ROUND(SSR!C70*IF($I$52=0%,1,1),3)</f>
        <v>25.97</v>
      </c>
      <c r="J60" s="2022"/>
      <c r="L60" s="238">
        <v>200000</v>
      </c>
      <c r="M60" s="239">
        <v>3.9</v>
      </c>
      <c r="N60" s="241" t="s">
        <v>195</v>
      </c>
    </row>
    <row r="61" spans="2:21" x14ac:dyDescent="0.25">
      <c r="B61" s="240">
        <v>200000</v>
      </c>
      <c r="C61" s="240">
        <v>9.75</v>
      </c>
      <c r="D61" s="240">
        <v>417</v>
      </c>
      <c r="I61" s="234">
        <f>+ROUND(SSR!C71*IF($I$52=0%,1,1),3)</f>
        <v>24.05</v>
      </c>
      <c r="J61" s="2022"/>
      <c r="L61" s="238">
        <v>250000</v>
      </c>
      <c r="M61" s="239">
        <v>4.55</v>
      </c>
      <c r="N61" s="241" t="s">
        <v>196</v>
      </c>
    </row>
    <row r="62" spans="2:21" x14ac:dyDescent="0.25">
      <c r="B62" s="240">
        <v>250000</v>
      </c>
      <c r="C62" s="240">
        <v>9.9</v>
      </c>
      <c r="D62" s="240">
        <v>521</v>
      </c>
      <c r="I62" s="234">
        <f>+ROUND(SSR!C72*IF($I$52=0%,1,1),3)</f>
        <v>23.31</v>
      </c>
      <c r="J62" s="2022"/>
      <c r="L62" s="238">
        <v>300000</v>
      </c>
      <c r="M62" s="230"/>
      <c r="N62" s="230"/>
    </row>
    <row r="63" spans="2:21" x14ac:dyDescent="0.25">
      <c r="B63" s="242" t="s">
        <v>191</v>
      </c>
      <c r="C63" s="243">
        <f>+LOOKUP('OHSR Lit'!G4,B55:B62,D55:D62)</f>
        <v>125</v>
      </c>
      <c r="I63" s="234">
        <f>+ROUND(SSR!C73*IF($I$52=0%,1,1),3)</f>
        <v>22.57</v>
      </c>
      <c r="J63" s="2022"/>
      <c r="L63" s="238">
        <v>350000</v>
      </c>
      <c r="M63" s="230"/>
      <c r="N63" s="230"/>
    </row>
    <row r="64" spans="2:21" x14ac:dyDescent="0.25">
      <c r="B64" s="244" t="s">
        <v>197</v>
      </c>
      <c r="C64" s="245">
        <f>+IF('OHSR Lit'!G3="yes",2*C63,C63)</f>
        <v>250</v>
      </c>
      <c r="I64" s="234"/>
      <c r="J64" s="2023"/>
    </row>
    <row r="65" spans="2:15" x14ac:dyDescent="0.25">
      <c r="I65" s="246"/>
    </row>
    <row r="66" spans="2:15" ht="57" x14ac:dyDescent="0.25">
      <c r="B66" s="247" t="s">
        <v>33</v>
      </c>
      <c r="C66" s="248" t="s">
        <v>198</v>
      </c>
      <c r="E66" s="249" t="s">
        <v>135</v>
      </c>
      <c r="F66" s="249">
        <v>0.6</v>
      </c>
      <c r="G66" s="249">
        <v>0.9</v>
      </c>
      <c r="H66" s="250">
        <v>2</v>
      </c>
      <c r="I66" s="249" t="s">
        <v>199</v>
      </c>
      <c r="J66" s="249" t="s">
        <v>200</v>
      </c>
      <c r="K66" s="251" t="s">
        <v>201</v>
      </c>
      <c r="L66" s="252" t="s">
        <v>202</v>
      </c>
      <c r="M66" s="252" t="s">
        <v>203</v>
      </c>
      <c r="N66" s="252" t="s">
        <v>204</v>
      </c>
      <c r="O66" s="251" t="s">
        <v>205</v>
      </c>
    </row>
    <row r="67" spans="2:15" x14ac:dyDescent="0.25">
      <c r="B67" s="216">
        <v>0</v>
      </c>
      <c r="C67" s="253">
        <v>80</v>
      </c>
      <c r="E67" s="254">
        <v>80</v>
      </c>
      <c r="F67" s="255">
        <f>'CI specials'!E103</f>
        <v>1420.9360000000001</v>
      </c>
      <c r="G67" s="255">
        <f>'CI specials'!D103</f>
        <v>1858.7139999999999</v>
      </c>
      <c r="H67" s="255">
        <f>'CI specials'!C103</f>
        <v>3463.9</v>
      </c>
      <c r="I67" s="255">
        <f>'CI specials'!I103</f>
        <v>1547.7</v>
      </c>
      <c r="J67" s="255">
        <f>'CI specials'!F103</f>
        <v>515.9</v>
      </c>
      <c r="K67" s="255">
        <f>'CI specials'!K103</f>
        <v>11025</v>
      </c>
      <c r="L67" s="256">
        <f>'CI specials'!G103</f>
        <v>958.1</v>
      </c>
      <c r="M67" s="256">
        <f>'CI specials'!H103</f>
        <v>1148.25</v>
      </c>
      <c r="N67" s="256">
        <f>'CI specials'!J103</f>
        <v>1842.5</v>
      </c>
      <c r="O67">
        <f>8590*1.05</f>
        <v>9019.5</v>
      </c>
    </row>
    <row r="68" spans="2:15" x14ac:dyDescent="0.25">
      <c r="B68" s="216">
        <v>166</v>
      </c>
      <c r="C68" s="253">
        <v>80</v>
      </c>
      <c r="E68" s="254">
        <v>100</v>
      </c>
      <c r="F68" s="255">
        <f>'CI specials'!E104</f>
        <v>1742.268</v>
      </c>
      <c r="G68" s="255">
        <f>'CI specials'!D104</f>
        <v>2303.8620000000001</v>
      </c>
      <c r="H68" s="255">
        <f>'CI specials'!C104</f>
        <v>4363.04</v>
      </c>
      <c r="I68" s="255">
        <f>'CI specials'!I104</f>
        <v>1916.2</v>
      </c>
      <c r="J68" s="255">
        <f>'CI specials'!F104</f>
        <v>663.30000000000007</v>
      </c>
      <c r="K68" s="255">
        <f>'CI specials'!K104</f>
        <v>12368</v>
      </c>
      <c r="L68" s="256">
        <f>'CI specials'!G104</f>
        <v>1252.9000000000001</v>
      </c>
      <c r="M68" s="256">
        <f>'CI specials'!H104</f>
        <v>1432.73</v>
      </c>
      <c r="N68" s="256">
        <f>'CI specials'!J104</f>
        <v>2579.5</v>
      </c>
      <c r="O68">
        <f>11331*1.05</f>
        <v>11897.550000000001</v>
      </c>
    </row>
    <row r="69" spans="2:15" x14ac:dyDescent="0.25">
      <c r="B69" s="216">
        <v>167</v>
      </c>
      <c r="C69" s="253">
        <v>100</v>
      </c>
      <c r="E69" s="254">
        <v>125</v>
      </c>
      <c r="F69" s="255">
        <f>'CI specials'!E105</f>
        <v>2244.902</v>
      </c>
      <c r="G69" s="255">
        <f>'CI specials'!D105</f>
        <v>2976.7429999999999</v>
      </c>
      <c r="H69" s="255">
        <f>'CI specials'!C105</f>
        <v>5660.16</v>
      </c>
      <c r="I69" s="255">
        <f>'CI specials'!I105</f>
        <v>2653.2000000000003</v>
      </c>
      <c r="J69" s="255">
        <f>'CI specials'!F105</f>
        <v>884.40000000000009</v>
      </c>
      <c r="K69" s="255">
        <f>'CI specials'!K105</f>
        <v>15843</v>
      </c>
      <c r="L69" s="256">
        <f>'CI specials'!G105</f>
        <v>1695.1000000000001</v>
      </c>
      <c r="M69" s="256">
        <f>'CI specials'!H105</f>
        <v>1854.29</v>
      </c>
      <c r="N69" s="256">
        <f>'CI specials'!J105</f>
        <v>3316.5</v>
      </c>
    </row>
    <row r="70" spans="2:15" x14ac:dyDescent="0.25">
      <c r="B70" s="216">
        <v>271</v>
      </c>
      <c r="C70" s="253">
        <v>100</v>
      </c>
      <c r="E70" s="254">
        <v>150</v>
      </c>
      <c r="F70" s="255">
        <f>'CI specials'!E106</f>
        <v>2827.1320000000001</v>
      </c>
      <c r="G70" s="255">
        <f>'CI specials'!D106</f>
        <v>3746.9080000000004</v>
      </c>
      <c r="H70" s="255">
        <f>'CI specials'!C106</f>
        <v>7119.420000000001</v>
      </c>
      <c r="I70" s="255">
        <f>'CI specials'!I106</f>
        <v>3463.9</v>
      </c>
      <c r="J70" s="255">
        <f>'CI specials'!F106</f>
        <v>1105.5</v>
      </c>
      <c r="K70" s="255">
        <f>'CI specials'!K106</f>
        <v>19473</v>
      </c>
      <c r="L70" s="256">
        <f>'CI specials'!G106</f>
        <v>2284.7000000000003</v>
      </c>
      <c r="M70" s="256">
        <f>'CI specials'!H106</f>
        <v>2333.34</v>
      </c>
      <c r="N70" s="256">
        <f>'CI specials'!J106</f>
        <v>4790.5</v>
      </c>
      <c r="O70">
        <f>17842*1.05</f>
        <v>18734.100000000002</v>
      </c>
    </row>
    <row r="71" spans="2:15" x14ac:dyDescent="0.25">
      <c r="B71" s="216">
        <v>272</v>
      </c>
      <c r="C71" s="253">
        <v>125</v>
      </c>
      <c r="E71" s="254">
        <v>200</v>
      </c>
      <c r="F71" s="255">
        <f>'CI specials'!E107</f>
        <v>4028.4420000000005</v>
      </c>
      <c r="G71" s="255">
        <f>'CI specials'!D107</f>
        <v>5357.2529999999997</v>
      </c>
      <c r="H71" s="255">
        <f>'CI specials'!C107</f>
        <v>10229.560000000001</v>
      </c>
      <c r="I71" s="255">
        <f>'CI specials'!I107</f>
        <v>5453.8</v>
      </c>
      <c r="J71" s="255">
        <f>'CI specials'!F107</f>
        <v>1695.1000000000001</v>
      </c>
      <c r="K71" s="255">
        <f>'CI specials'!K107</f>
        <v>28613</v>
      </c>
      <c r="L71" s="256">
        <f>'CI specials'!G107</f>
        <v>3611.3</v>
      </c>
      <c r="M71" s="256">
        <f>'CI specials'!H107</f>
        <v>3343.03</v>
      </c>
      <c r="N71" s="256">
        <f>'CI specials'!J107</f>
        <v>7370</v>
      </c>
      <c r="O71">
        <f>29649*1.05</f>
        <v>31131.45</v>
      </c>
    </row>
    <row r="72" spans="2:15" x14ac:dyDescent="0.25">
      <c r="B72" s="216">
        <v>440</v>
      </c>
      <c r="C72" s="253">
        <v>125</v>
      </c>
      <c r="E72" s="254">
        <v>250</v>
      </c>
      <c r="F72" s="255">
        <f>'CI specials'!E108</f>
        <v>5385.9960000000001</v>
      </c>
      <c r="G72" s="255">
        <f>'CI specials'!D108</f>
        <v>7194.594000000001</v>
      </c>
      <c r="H72" s="255">
        <f>'CI specials'!C108</f>
        <v>13826.12</v>
      </c>
      <c r="I72" s="255">
        <f>'CI specials'!I108</f>
        <v>8180.7000000000007</v>
      </c>
      <c r="J72" s="255">
        <f>'CI specials'!F108</f>
        <v>2284.7000000000003</v>
      </c>
      <c r="K72" s="255">
        <f>'CI specials'!K108</f>
        <v>36488</v>
      </c>
      <c r="L72" s="256">
        <f>'CI specials'!G108</f>
        <v>5306.4000000000005</v>
      </c>
      <c r="M72" s="256">
        <f>'CI specials'!H108</f>
        <v>4501.6000000000004</v>
      </c>
      <c r="N72" s="256">
        <f>'CI specials'!J108</f>
        <v>11792</v>
      </c>
      <c r="O72">
        <f>41064*1.05</f>
        <v>43117.200000000004</v>
      </c>
    </row>
    <row r="73" spans="2:15" x14ac:dyDescent="0.25">
      <c r="B73" s="216">
        <v>441</v>
      </c>
      <c r="C73" s="253">
        <v>150</v>
      </c>
      <c r="E73" s="254">
        <v>300</v>
      </c>
      <c r="F73" s="255">
        <f>'CI specials'!E109</f>
        <v>6873.2619999999997</v>
      </c>
      <c r="G73" s="255">
        <f>'CI specials'!D109</f>
        <v>9219.1329999999998</v>
      </c>
      <c r="H73" s="255">
        <f>'CI specials'!C109</f>
        <v>17820.66</v>
      </c>
      <c r="I73" s="255">
        <f>'CI specials'!I109</f>
        <v>11497.2</v>
      </c>
      <c r="J73" s="255">
        <f>'CI specials'!F109</f>
        <v>3316.5</v>
      </c>
      <c r="K73" s="255">
        <f>'CI specials'!K109</f>
        <v>67740</v>
      </c>
      <c r="L73" s="256">
        <f>'CI specials'!G109</f>
        <v>7370</v>
      </c>
      <c r="M73" s="256">
        <f>'CI specials'!H109</f>
        <v>5782.5</v>
      </c>
      <c r="N73" s="256">
        <f>'CI specials'!J109</f>
        <v>15477</v>
      </c>
      <c r="O73">
        <f>62062*1.05</f>
        <v>65165.100000000006</v>
      </c>
    </row>
    <row r="74" spans="2:15" x14ac:dyDescent="0.25">
      <c r="B74" s="216">
        <v>654</v>
      </c>
      <c r="C74" s="253">
        <v>150</v>
      </c>
      <c r="E74" s="254">
        <v>350</v>
      </c>
      <c r="F74" s="255">
        <f>'CI specials'!E110</f>
        <v>8703.9699999999993</v>
      </c>
      <c r="G74" s="255">
        <f>'CI specials'!D110</f>
        <v>11655.655000000001</v>
      </c>
      <c r="H74" s="255">
        <f>'CI specials'!C110</f>
        <v>22478.5</v>
      </c>
      <c r="I74" s="255">
        <f>'CI specials'!I110</f>
        <v>15771.800000000001</v>
      </c>
      <c r="J74" s="255">
        <f>'CI specials'!F110</f>
        <v>4274.6000000000004</v>
      </c>
      <c r="K74" s="255">
        <f>'CI specials'!K110</f>
        <v>94238</v>
      </c>
      <c r="L74" s="256">
        <f>'CI specials'!G110</f>
        <v>10096.9</v>
      </c>
      <c r="M74" s="256">
        <f>'CI specials'!H110</f>
        <v>7303.67</v>
      </c>
      <c r="N74" s="256">
        <f>'CI specials'!J110</f>
        <v>25058</v>
      </c>
      <c r="O74">
        <f>187905*1.05</f>
        <v>197300.25</v>
      </c>
    </row>
    <row r="75" spans="2:15" x14ac:dyDescent="0.25">
      <c r="B75" s="216">
        <v>655</v>
      </c>
      <c r="C75" s="253">
        <v>200</v>
      </c>
      <c r="E75" s="254">
        <v>400</v>
      </c>
      <c r="F75" s="255">
        <f>'CI specials'!E111</f>
        <v>10639.331999999999</v>
      </c>
      <c r="G75" s="255">
        <f>'CI specials'!D111</f>
        <v>14234.418</v>
      </c>
      <c r="H75" s="255">
        <f>'CI specials'!C111</f>
        <v>27416.400000000001</v>
      </c>
      <c r="I75" s="255">
        <f>'CI specials'!I111</f>
        <v>20709.7</v>
      </c>
      <c r="J75" s="255">
        <f>'CI specials'!F111</f>
        <v>5896</v>
      </c>
      <c r="K75" s="255">
        <f>'CI specials'!K111</f>
        <v>120488</v>
      </c>
      <c r="L75" s="256">
        <f>'CI specials'!G111</f>
        <v>13339.7</v>
      </c>
      <c r="M75" s="256">
        <f>'CI specials'!H111</f>
        <v>8914.75</v>
      </c>
      <c r="N75" s="256">
        <f>'CI specials'!J111</f>
        <v>20267.5</v>
      </c>
      <c r="O75">
        <f>197083*1.05</f>
        <v>206937.15000000002</v>
      </c>
    </row>
    <row r="76" spans="2:15" x14ac:dyDescent="0.25">
      <c r="B76" s="216">
        <v>1223</v>
      </c>
      <c r="C76" s="253">
        <v>200</v>
      </c>
      <c r="E76" s="254">
        <v>450</v>
      </c>
      <c r="F76" s="255">
        <f>'CI specials'!E112</f>
        <v>12617.44</v>
      </c>
      <c r="G76" s="255">
        <f>'CI specials'!D112</f>
        <v>16973.11</v>
      </c>
      <c r="H76" s="255">
        <f>'CI specials'!C112</f>
        <v>32943.9</v>
      </c>
      <c r="I76" s="255">
        <f>'CI specials'!I112</f>
        <v>25795</v>
      </c>
      <c r="J76" s="255">
        <f>'CI specials'!F112</f>
        <v>6854.1</v>
      </c>
      <c r="K76" s="255">
        <f>'CI specials'!K112</f>
        <v>197925</v>
      </c>
      <c r="L76" s="256">
        <f>'CI specials'!G112</f>
        <v>16656.2</v>
      </c>
      <c r="M76" s="256">
        <f>'CI specials'!H112</f>
        <v>10664.39</v>
      </c>
      <c r="N76" s="256">
        <f>'CI specials'!J112</f>
        <v>0</v>
      </c>
      <c r="O76">
        <v>0</v>
      </c>
    </row>
    <row r="77" spans="2:15" x14ac:dyDescent="0.25">
      <c r="B77" s="216">
        <v>1224</v>
      </c>
      <c r="C77" s="253">
        <v>250</v>
      </c>
      <c r="E77" s="254">
        <v>500</v>
      </c>
      <c r="F77" s="255">
        <f>'CI specials'!E113</f>
        <v>14871.186000000003</v>
      </c>
      <c r="G77" s="255">
        <f>'CI specials'!D113</f>
        <v>19941.009000000002</v>
      </c>
      <c r="H77" s="255">
        <f>'CI specials'!C113</f>
        <v>38530.360000000008</v>
      </c>
      <c r="I77" s="255">
        <f>'CI specials'!I113</f>
        <v>32870.200000000004</v>
      </c>
      <c r="J77" s="255">
        <f>'CI specials'!F113</f>
        <v>8844</v>
      </c>
      <c r="K77" s="255">
        <f>'CI specials'!K113</f>
        <v>253050</v>
      </c>
      <c r="L77" s="256">
        <f>'CI specials'!G113</f>
        <v>21373</v>
      </c>
      <c r="M77" s="256">
        <f>'CI specials'!H113</f>
        <v>12505.42</v>
      </c>
      <c r="N77" s="256">
        <f>'CI specials'!J113</f>
        <v>0</v>
      </c>
      <c r="O77">
        <v>0</v>
      </c>
    </row>
    <row r="78" spans="2:15" x14ac:dyDescent="0.25">
      <c r="B78" s="216">
        <v>1986</v>
      </c>
      <c r="C78" s="253">
        <v>250</v>
      </c>
      <c r="E78" s="254">
        <v>600</v>
      </c>
      <c r="F78" s="255">
        <f>'CI specials'!E114</f>
        <v>20039.03</v>
      </c>
      <c r="G78" s="255">
        <f>'CI specials'!D114</f>
        <v>26815.745000000003</v>
      </c>
      <c r="H78" s="255">
        <f>'CI specials'!C114</f>
        <v>51663.700000000004</v>
      </c>
      <c r="I78" s="255">
        <f>'CI specials'!I114</f>
        <v>49157.9</v>
      </c>
      <c r="J78" s="255">
        <f>'CI specials'!F114</f>
        <v>14813.7</v>
      </c>
      <c r="K78" s="255">
        <f>'CI specials'!K114</f>
        <v>358050</v>
      </c>
      <c r="L78" s="256">
        <f>'CI specials'!G114</f>
        <v>32575.4</v>
      </c>
      <c r="M78" s="256">
        <f>'CI specials'!H114</f>
        <v>16796.23</v>
      </c>
      <c r="N78" s="256">
        <f>'CI specials'!J114</f>
        <v>0</v>
      </c>
      <c r="O78">
        <v>0</v>
      </c>
    </row>
    <row r="79" spans="2:15" x14ac:dyDescent="0.25">
      <c r="B79" s="216">
        <v>1987</v>
      </c>
      <c r="C79" s="253">
        <v>300</v>
      </c>
    </row>
    <row r="80" spans="2:15" x14ac:dyDescent="0.25">
      <c r="B80" s="216">
        <v>2952</v>
      </c>
      <c r="C80" s="253">
        <v>300</v>
      </c>
    </row>
    <row r="81" spans="1:15" x14ac:dyDescent="0.25">
      <c r="B81" s="216">
        <v>2953</v>
      </c>
      <c r="C81" s="253">
        <v>350</v>
      </c>
    </row>
    <row r="82" spans="1:15" x14ac:dyDescent="0.25">
      <c r="B82" s="216">
        <v>4128</v>
      </c>
      <c r="C82" s="253">
        <v>350</v>
      </c>
      <c r="E82" s="257"/>
      <c r="F82" s="257"/>
      <c r="G82" s="257"/>
      <c r="H82" s="258"/>
      <c r="I82" s="257"/>
      <c r="J82" s="257"/>
      <c r="K82" s="257"/>
      <c r="L82" s="259"/>
      <c r="M82" s="259"/>
      <c r="N82" s="259"/>
      <c r="O82" s="90"/>
    </row>
    <row r="83" spans="1:15" x14ac:dyDescent="0.25">
      <c r="B83" s="216">
        <v>4129</v>
      </c>
      <c r="C83" s="253">
        <v>400</v>
      </c>
    </row>
    <row r="84" spans="1:15" x14ac:dyDescent="0.25">
      <c r="B84" s="216">
        <v>5518</v>
      </c>
      <c r="C84" s="253">
        <v>400</v>
      </c>
    </row>
    <row r="85" spans="1:15" x14ac:dyDescent="0.25">
      <c r="B85" s="216">
        <v>5519</v>
      </c>
      <c r="C85" s="253">
        <v>450</v>
      </c>
    </row>
    <row r="86" spans="1:15" x14ac:dyDescent="0.25">
      <c r="B86" s="216">
        <v>7129</v>
      </c>
      <c r="C86" s="253">
        <v>450</v>
      </c>
    </row>
    <row r="87" spans="1:15" x14ac:dyDescent="0.25">
      <c r="B87" s="216">
        <v>7130</v>
      </c>
      <c r="C87" s="253">
        <v>500</v>
      </c>
    </row>
    <row r="88" spans="1:15" x14ac:dyDescent="0.25">
      <c r="B88" s="216">
        <v>8964</v>
      </c>
      <c r="C88" s="253">
        <v>500</v>
      </c>
    </row>
    <row r="89" spans="1:15" x14ac:dyDescent="0.25">
      <c r="B89" s="216">
        <v>8965</v>
      </c>
      <c r="C89" s="253">
        <v>600</v>
      </c>
    </row>
    <row r="90" spans="1:15" x14ac:dyDescent="0.25">
      <c r="B90" s="229">
        <v>13324</v>
      </c>
      <c r="C90" s="260">
        <v>600</v>
      </c>
    </row>
    <row r="91" spans="1:15" x14ac:dyDescent="0.25">
      <c r="A91" s="261" t="s">
        <v>206</v>
      </c>
      <c r="B91" s="262">
        <f>+Design!F21*Design!E30/1000</f>
        <v>220857.60000000001</v>
      </c>
      <c r="C91" s="262"/>
      <c r="D91" s="262">
        <f>+RAM!E4*Design!F17*Design!E30/1000</f>
        <v>195993.60000000001</v>
      </c>
      <c r="E91" s="262"/>
    </row>
    <row r="92" spans="1:15" x14ac:dyDescent="0.25">
      <c r="A92" s="91"/>
      <c r="B92" s="262">
        <f>+Design!F21*Design!D31/1000</f>
        <v>0</v>
      </c>
      <c r="C92" s="262"/>
      <c r="D92" s="262">
        <f>+RAM!E4*Design!F17*Design!D31/1000</f>
        <v>0</v>
      </c>
      <c r="E92" s="262"/>
    </row>
    <row r="93" spans="1:15" x14ac:dyDescent="0.25">
      <c r="A93" s="91"/>
      <c r="B93" s="263">
        <f>SUM(B91:B92)</f>
        <v>220857.60000000001</v>
      </c>
      <c r="C93" s="262" t="s">
        <v>20</v>
      </c>
      <c r="D93" s="264">
        <f>SUM(D91:D92)</f>
        <v>195993.60000000001</v>
      </c>
      <c r="E93" s="262" t="s">
        <v>20</v>
      </c>
    </row>
    <row r="94" spans="1:15" x14ac:dyDescent="0.25">
      <c r="A94" s="91"/>
      <c r="B94" s="264">
        <f>+B93*0.4</f>
        <v>88343.040000000008</v>
      </c>
      <c r="C94" s="262" t="s">
        <v>20</v>
      </c>
      <c r="D94" s="264">
        <f>+D93*0.4</f>
        <v>78397.440000000002</v>
      </c>
      <c r="E94" s="262" t="s">
        <v>20</v>
      </c>
    </row>
    <row r="95" spans="1:15" x14ac:dyDescent="0.25">
      <c r="A95" s="265"/>
      <c r="B95" s="266">
        <f>SUM(B93:B94)</f>
        <v>309200.64000000001</v>
      </c>
      <c r="C95" s="262" t="s">
        <v>20</v>
      </c>
      <c r="D95" s="266">
        <f>SUM(D93:D94)</f>
        <v>274391.04000000004</v>
      </c>
      <c r="E95" s="262" t="s">
        <v>20</v>
      </c>
    </row>
    <row r="96" spans="1:15" x14ac:dyDescent="0.25">
      <c r="A96" s="91"/>
      <c r="B96" s="264"/>
      <c r="C96" s="262"/>
      <c r="D96" s="264"/>
      <c r="E96" s="262"/>
    </row>
    <row r="97" spans="1:22" x14ac:dyDescent="0.25">
      <c r="A97" s="91"/>
      <c r="B97" s="266">
        <f>+B95-B96</f>
        <v>309200.64000000001</v>
      </c>
      <c r="C97" s="262" t="s">
        <v>20</v>
      </c>
      <c r="D97" s="266">
        <f>+D95-D96</f>
        <v>274391.04000000004</v>
      </c>
      <c r="E97" s="262" t="s">
        <v>20</v>
      </c>
    </row>
    <row r="98" spans="1:22" x14ac:dyDescent="0.25">
      <c r="B98" s="2"/>
      <c r="C98" s="2"/>
      <c r="D98" s="2"/>
      <c r="E98" s="2"/>
    </row>
    <row r="99" spans="1:22" x14ac:dyDescent="0.25">
      <c r="B99" s="2"/>
      <c r="C99" s="2"/>
      <c r="D99" s="2"/>
      <c r="E99" s="2"/>
    </row>
    <row r="100" spans="1:22" x14ac:dyDescent="0.25">
      <c r="B100" s="267">
        <f>+B97</f>
        <v>309200.64000000001</v>
      </c>
      <c r="C100" s="268"/>
      <c r="D100" s="267">
        <f>+D97</f>
        <v>274391.04000000004</v>
      </c>
      <c r="E100" s="2"/>
    </row>
    <row r="101" spans="1:22" x14ac:dyDescent="0.25">
      <c r="B101" s="267">
        <v>583760</v>
      </c>
      <c r="C101" s="268"/>
      <c r="D101" s="267">
        <v>518048</v>
      </c>
      <c r="E101" s="2"/>
    </row>
    <row r="102" spans="1:22" x14ac:dyDescent="0.25">
      <c r="B102" s="267">
        <f>SUM(B100:B101)</f>
        <v>892960.64</v>
      </c>
      <c r="C102" s="268"/>
      <c r="D102" s="267">
        <f>SUM(D100:D101)</f>
        <v>792439.04</v>
      </c>
      <c r="E102" s="2"/>
    </row>
    <row r="103" spans="1:22" x14ac:dyDescent="0.25">
      <c r="B103" s="230"/>
      <c r="C103" s="230"/>
      <c r="D103" s="230"/>
    </row>
    <row r="104" spans="1:22" x14ac:dyDescent="0.25">
      <c r="B104" s="269">
        <f>+Design!G44</f>
        <v>16</v>
      </c>
      <c r="C104" s="268"/>
      <c r="D104" s="269">
        <f>+B104</f>
        <v>16</v>
      </c>
    </row>
    <row r="105" spans="1:22" x14ac:dyDescent="0.25">
      <c r="B105" s="269">
        <f>+ROUND((B102*1000)/(Design!E41*B104*60),0)</f>
        <v>3797</v>
      </c>
      <c r="C105" s="268"/>
      <c r="D105" s="269">
        <f>+ROUND((D102*1000)/(Design!E41*D104*60),0)</f>
        <v>3369</v>
      </c>
    </row>
    <row r="106" spans="1:22" x14ac:dyDescent="0.25">
      <c r="B106" s="270">
        <f>+B105*B104*60/10^6</f>
        <v>3.6451199999999999</v>
      </c>
      <c r="C106" s="268"/>
      <c r="D106" s="270">
        <f>+D105*D104*60/10^6</f>
        <v>3.2342399999999998</v>
      </c>
    </row>
    <row r="110" spans="1:22" x14ac:dyDescent="0.25">
      <c r="B110" s="271" t="s">
        <v>207</v>
      </c>
      <c r="F110" s="272" t="s">
        <v>208</v>
      </c>
      <c r="L110" s="2014" t="s">
        <v>209</v>
      </c>
      <c r="M110" s="2016"/>
      <c r="N110" s="2014" t="s">
        <v>206</v>
      </c>
      <c r="O110" s="2016"/>
      <c r="Q110" s="2013" t="s">
        <v>210</v>
      </c>
      <c r="R110" s="2013"/>
      <c r="S110" s="2013"/>
      <c r="T110" s="2013"/>
      <c r="U110" s="2013"/>
      <c r="V110" s="2013"/>
    </row>
    <row r="111" spans="1:22" x14ac:dyDescent="0.25">
      <c r="B111" t="s">
        <v>123</v>
      </c>
      <c r="E111" s="154">
        <f>'Intakewell-canal'!C32</f>
        <v>0.15</v>
      </c>
      <c r="F111" s="154">
        <f>'Intakewell-SSt'!C32</f>
        <v>0.2</v>
      </c>
      <c r="I111" s="273" t="s">
        <v>209</v>
      </c>
      <c r="J111" s="274" t="s">
        <v>211</v>
      </c>
      <c r="K111" s="195" t="s">
        <v>161</v>
      </c>
      <c r="L111" s="196">
        <f>+'Intakewell-canal'!C29+'Intakewell-canal'!C35+'Intakewell-canal'!H36+'Intakewell-canal'!H37+'Intakewell-canal'!H38</f>
        <v>3.0999999999999996</v>
      </c>
      <c r="M111" s="197">
        <f>+IF(L111&gt;=3,3,L111)</f>
        <v>3</v>
      </c>
      <c r="N111" s="196">
        <f>+'Intakewell-SSt'!C29+'Intakewell-SSt'!C35+'Intakewell-SSt'!H36+'Intakewell-SSt'!H37+'Intakewell-SSt'!H38</f>
        <v>3.25</v>
      </c>
      <c r="O111" s="197">
        <f>+IF(N111&gt;=3,3,N111)</f>
        <v>3</v>
      </c>
      <c r="Q111" s="275" t="s">
        <v>161</v>
      </c>
      <c r="R111" s="276">
        <f>+'Intakewell-SSt'!C29+'Intakewell-SSt'!C35+'Intakewell-SSt'!H36+'Intakewell-SSt'!H37+'Intakewell-SSt'!H38</f>
        <v>3.25</v>
      </c>
      <c r="S111" s="277">
        <f>+IF(R111&gt;=3,3,R111)</f>
        <v>3</v>
      </c>
      <c r="T111" s="91"/>
      <c r="U111" s="198" t="s">
        <v>135</v>
      </c>
      <c r="V111" s="91"/>
    </row>
    <row r="112" spans="1:22" x14ac:dyDescent="0.25">
      <c r="B112" t="s">
        <v>163</v>
      </c>
      <c r="E112" s="154">
        <f>'Intakewell-canal'!C35</f>
        <v>0.3</v>
      </c>
      <c r="F112" s="154">
        <f>'Intakewell-SSt'!C35</f>
        <v>0.45</v>
      </c>
      <c r="H112" s="91"/>
      <c r="I112" s="278"/>
      <c r="J112" s="279">
        <f>+LOOKUP('Intakewell-canal'!I5,RAM!B67:B90,RAM!C67:C90)</f>
        <v>350</v>
      </c>
      <c r="K112" s="200" t="s">
        <v>162</v>
      </c>
      <c r="L112" s="196">
        <f>+L111-M111</f>
        <v>9.9999999999999645E-2</v>
      </c>
      <c r="M112" s="197">
        <f>+IF(L112&gt;=3,3,L112)</f>
        <v>9.9999999999999645E-2</v>
      </c>
      <c r="N112" s="196">
        <f>+N111-O111</f>
        <v>0.25</v>
      </c>
      <c r="O112" s="197">
        <f>+IF(N112&gt;=3,3,N112)</f>
        <v>0.25</v>
      </c>
      <c r="Q112" s="280" t="s">
        <v>162</v>
      </c>
      <c r="R112" s="281">
        <f>+R111-S111</f>
        <v>0.25</v>
      </c>
      <c r="S112" s="277">
        <f>+IF(R112&gt;=3,3,R112)</f>
        <v>0.25</v>
      </c>
      <c r="T112" s="91"/>
      <c r="U112" s="201">
        <f>+LOOKUP('Intakewell-SSt'!I5,RAM!$B$67:$B$90,RAM!$C$67:$C90)</f>
        <v>300</v>
      </c>
      <c r="V112" s="91"/>
    </row>
    <row r="113" spans="2:22" x14ac:dyDescent="0.25">
      <c r="B113" t="s">
        <v>212</v>
      </c>
      <c r="E113" s="154">
        <f>'Intakewell-canal'!C32+2*'Intakewell-canal'!F33</f>
        <v>1.65</v>
      </c>
      <c r="F113" s="154">
        <f>'Intakewell-SSt'!C32+'Intakewell-SSt'!F33*2</f>
        <v>1.7</v>
      </c>
      <c r="H113" s="282">
        <v>2</v>
      </c>
      <c r="I113" s="283">
        <f>+INT(('Intakewell-canal'!C29+'Intakewell-canal'!C25*2+1-0.3)/2)</f>
        <v>1</v>
      </c>
      <c r="J113" s="284">
        <f>+ROUND(LOOKUP($J$112,$E$67:$E$78,$H$67:$H$78)*I113,0)</f>
        <v>22479</v>
      </c>
      <c r="K113" s="200" t="s">
        <v>164</v>
      </c>
      <c r="L113" s="196">
        <f>+L112-M112</f>
        <v>0</v>
      </c>
      <c r="M113" s="197">
        <f>+IF(L113&gt;=3,3,L113)</f>
        <v>0</v>
      </c>
      <c r="N113" s="196">
        <f>+N112-O112</f>
        <v>0</v>
      </c>
      <c r="O113" s="197">
        <f>+IF(N113&gt;=3,3,N113)</f>
        <v>0</v>
      </c>
      <c r="Q113" s="280" t="s">
        <v>164</v>
      </c>
      <c r="R113" s="281">
        <f>+R112-S112</f>
        <v>0</v>
      </c>
      <c r="S113" s="277">
        <f>+IF(R113&gt;=3,3,R113)</f>
        <v>0</v>
      </c>
      <c r="T113" s="203" t="s">
        <v>165</v>
      </c>
      <c r="U113" s="204">
        <f>+INT('Intakewell-SSt'!C29/2)</f>
        <v>1</v>
      </c>
      <c r="V113" s="205">
        <f>+ROUND(LOOKUP($K$15,$E$67:$E$78,$H$67:$H$78)*U113,0)</f>
        <v>13826</v>
      </c>
    </row>
    <row r="114" spans="2:22" x14ac:dyDescent="0.25">
      <c r="B114" t="s">
        <v>213</v>
      </c>
      <c r="E114" s="154">
        <f>'Intakewell-canal'!C17</f>
        <v>0.1</v>
      </c>
      <c r="F114" s="154">
        <f>'Intakewell-SSt'!C17</f>
        <v>0.1</v>
      </c>
      <c r="H114" s="282">
        <v>0.9</v>
      </c>
      <c r="I114" s="283">
        <f>+INT((('Intakewell-canal'!C29+'Intakewell-canal'!C25*2+1-0.3)-I113*2)/0.9)</f>
        <v>2</v>
      </c>
      <c r="J114" s="284">
        <f>+ROUND(LOOKUP($J$112,$E$67:$E$78,$G$67:$G$78)*I114,0)</f>
        <v>23311</v>
      </c>
      <c r="K114" s="200" t="s">
        <v>167</v>
      </c>
      <c r="L114" s="196">
        <f>+L111-M111-M112-M113</f>
        <v>0</v>
      </c>
      <c r="M114" s="197">
        <f>+IF(L114&gt;=3,3,L114)</f>
        <v>0</v>
      </c>
      <c r="N114" s="196">
        <f>+N111-O111-O112-O113</f>
        <v>0</v>
      </c>
      <c r="O114" s="197">
        <f>+IF(N114&gt;=3,3,N114)</f>
        <v>0</v>
      </c>
      <c r="Q114" s="285" t="s">
        <v>167</v>
      </c>
      <c r="R114" s="286">
        <f>+R111-S111-S112-S113</f>
        <v>0</v>
      </c>
      <c r="S114" s="277">
        <f>+IF(R114&gt;=3,3,R114)</f>
        <v>0</v>
      </c>
      <c r="T114" s="206" t="s">
        <v>168</v>
      </c>
      <c r="U114" s="204">
        <f>+INT(('Intakewell-SSt'!C29*2+1)/0.9)</f>
        <v>5</v>
      </c>
      <c r="V114" s="205">
        <f>+ROUND(LOOKUP($K$15,$E$67:$E$78,$G$67:$G$78)*U114,0)</f>
        <v>35973</v>
      </c>
    </row>
    <row r="115" spans="2:22" x14ac:dyDescent="0.25">
      <c r="B115" t="s">
        <v>214</v>
      </c>
      <c r="E115" s="154">
        <f>'Intakewell-canal'!C22</f>
        <v>0.15</v>
      </c>
      <c r="F115">
        <f>'Intakewell-SSt'!C22</f>
        <v>0.2</v>
      </c>
      <c r="H115" s="282">
        <v>0.6</v>
      </c>
      <c r="I115" s="283">
        <f>+INT((('Intakewell-canal'!C29+'Intakewell-canal'!C25*2+1-0.3)-I113*2-I114*0.9)/0.6+1)</f>
        <v>1</v>
      </c>
      <c r="J115" s="284">
        <f>+ROUND(LOOKUP($J$112,$E$67:$E$78,$F$67:$F$78)*I115,0)</f>
        <v>8704</v>
      </c>
      <c r="T115" s="206" t="s">
        <v>170</v>
      </c>
      <c r="U115" s="204">
        <f>+INT(('Intakewell-SSt'!C29*2-U114*0.9+1)/0.6)+2</f>
        <v>2</v>
      </c>
      <c r="V115" s="205">
        <f>+ROUND(LOOKUP($K$15,$E$67:$E$78,$F$67:$F$78)*U115,0)</f>
        <v>10772</v>
      </c>
    </row>
    <row r="116" spans="2:22" x14ac:dyDescent="0.25">
      <c r="B116" t="s">
        <v>215</v>
      </c>
      <c r="E116" s="154">
        <f>'Intakewell-canal'!C13</f>
        <v>0.1</v>
      </c>
      <c r="F116" s="154">
        <f>'Intakewell-SSt'!C13</f>
        <v>0.1</v>
      </c>
      <c r="H116" s="278" t="s">
        <v>172</v>
      </c>
      <c r="I116" s="279">
        <v>1</v>
      </c>
      <c r="J116" s="284">
        <f>+ROUND(LOOKUP($J$112,$E$67:$E$78,$I$67:$I$78)*I116,0)</f>
        <v>15772</v>
      </c>
      <c r="T116" s="206" t="s">
        <v>171</v>
      </c>
      <c r="U116" s="204">
        <v>1</v>
      </c>
      <c r="V116" s="205">
        <f>+ROUND(LOOKUP($K$15,$E$67:$E$78,$J$67:$J$78)*U116,0)</f>
        <v>2285</v>
      </c>
    </row>
    <row r="117" spans="2:22" x14ac:dyDescent="0.25">
      <c r="B117" s="194" t="s">
        <v>216</v>
      </c>
      <c r="H117" s="278" t="s">
        <v>217</v>
      </c>
      <c r="I117" s="279">
        <v>1</v>
      </c>
      <c r="J117" s="284">
        <f>+ROUND(LOOKUP($J$112,$E$67:$E$78,$N$67:$N$78)*I117,0)</f>
        <v>25058</v>
      </c>
      <c r="T117" s="207" t="s">
        <v>172</v>
      </c>
      <c r="U117" s="204">
        <v>1</v>
      </c>
      <c r="V117" s="205">
        <f>+ROUND(LOOKUP($K$15,$E$67:$E$78,$I$67:$I$78)*U117,0)</f>
        <v>8181</v>
      </c>
    </row>
    <row r="118" spans="2:22" x14ac:dyDescent="0.25">
      <c r="B118" t="s">
        <v>123</v>
      </c>
      <c r="E118" s="154" t="e">
        <v>#REF!</v>
      </c>
      <c r="I118" s="279" t="s">
        <v>218</v>
      </c>
      <c r="J118" s="287">
        <f>ROUND(SUM(J113:J117),0)</f>
        <v>95324</v>
      </c>
      <c r="T118" s="91"/>
      <c r="U118" s="91" t="s">
        <v>173</v>
      </c>
      <c r="V118" s="208">
        <f>ROUND(SUM(V113:V117),0)</f>
        <v>71037</v>
      </c>
    </row>
    <row r="119" spans="2:22" x14ac:dyDescent="0.25">
      <c r="B119" t="s">
        <v>219</v>
      </c>
      <c r="E119" s="154" t="e">
        <v>#REF!</v>
      </c>
      <c r="F119" s="288" t="s">
        <v>220</v>
      </c>
      <c r="G119" s="288"/>
      <c r="H119" s="289"/>
    </row>
    <row r="120" spans="2:22" x14ac:dyDescent="0.25">
      <c r="B120" s="105" t="s">
        <v>221</v>
      </c>
      <c r="E120" s="290" t="e">
        <v>#REF!</v>
      </c>
    </row>
    <row r="123" spans="2:22" x14ac:dyDescent="0.25">
      <c r="B123" t="s">
        <v>222</v>
      </c>
    </row>
    <row r="124" spans="2:22" x14ac:dyDescent="0.25">
      <c r="B124" t="s">
        <v>223</v>
      </c>
      <c r="E124" s="154">
        <f>'Valve chambers'!C23</f>
        <v>0.1</v>
      </c>
      <c r="G124" s="254">
        <v>0.9</v>
      </c>
      <c r="H124" s="291" t="s">
        <v>224</v>
      </c>
    </row>
    <row r="125" spans="2:22" x14ac:dyDescent="0.25">
      <c r="G125" s="254">
        <v>1.05</v>
      </c>
      <c r="H125" s="291" t="s">
        <v>225</v>
      </c>
    </row>
    <row r="126" spans="2:22" x14ac:dyDescent="0.25">
      <c r="G126" s="254">
        <v>1.2</v>
      </c>
      <c r="H126" s="291" t="s">
        <v>226</v>
      </c>
    </row>
    <row r="127" spans="2:22" x14ac:dyDescent="0.25">
      <c r="G127" s="254">
        <v>1.5</v>
      </c>
      <c r="H127" s="291" t="s">
        <v>227</v>
      </c>
    </row>
    <row r="128" spans="2:22" x14ac:dyDescent="0.25">
      <c r="B128" s="2014" t="s">
        <v>73</v>
      </c>
      <c r="C128" s="2015"/>
      <c r="D128" s="2016"/>
    </row>
    <row r="129" spans="2:13" x14ac:dyDescent="0.25">
      <c r="B129" s="195" t="s">
        <v>161</v>
      </c>
      <c r="C129" s="196">
        <f>'OHBR-Col'!E6+'OHBR-Col'!E8+('OHBR-Col'!F7-'OHBR-Col'!E8)+'OHBR-Col'!F65+'OHBR-Col'!F68</f>
        <v>3.6499999999999995</v>
      </c>
      <c r="D129" s="197">
        <f>+IF(C129&gt;=3,3,C129)</f>
        <v>3</v>
      </c>
      <c r="F129" t="s">
        <v>228</v>
      </c>
      <c r="G129" s="292">
        <f>+G130</f>
        <v>25.25</v>
      </c>
      <c r="J129" t="s">
        <v>229</v>
      </c>
      <c r="K129" s="292">
        <f>Staircase!I3</f>
        <v>30</v>
      </c>
    </row>
    <row r="130" spans="2:13" x14ac:dyDescent="0.25">
      <c r="B130" s="200" t="s">
        <v>162</v>
      </c>
      <c r="C130" s="196">
        <f>+C129-D129</f>
        <v>0.64999999999999947</v>
      </c>
      <c r="D130" s="197">
        <f>+IF(C130&gt;=3,3,C130)</f>
        <v>0.64999999999999947</v>
      </c>
      <c r="F130" t="s">
        <v>190</v>
      </c>
      <c r="G130" s="154">
        <f>'OHBR-Col'!B2</f>
        <v>25.25</v>
      </c>
      <c r="H130" s="293">
        <f>+LOOKUP(G130,F131:F140,G131:G140)</f>
        <v>27</v>
      </c>
      <c r="J130" t="s">
        <v>190</v>
      </c>
      <c r="K130" s="154">
        <f>Staircase!I3</f>
        <v>30</v>
      </c>
      <c r="L130" s="293">
        <f>+IF(K130&lt;15,1,LOOKUP(K130,J131:J140,K131:K140))</f>
        <v>30</v>
      </c>
    </row>
    <row r="131" spans="2:13" x14ac:dyDescent="0.25">
      <c r="B131" s="200" t="s">
        <v>164</v>
      </c>
      <c r="C131" s="196">
        <f>+C130-D130</f>
        <v>0</v>
      </c>
      <c r="D131" s="197">
        <f>+IF(C131&gt;=3,3,C131)</f>
        <v>0</v>
      </c>
      <c r="F131" s="294">
        <v>15</v>
      </c>
      <c r="G131" s="294">
        <v>1</v>
      </c>
      <c r="J131" s="294">
        <v>15</v>
      </c>
      <c r="K131" s="294">
        <v>1</v>
      </c>
    </row>
    <row r="132" spans="2:13" x14ac:dyDescent="0.25">
      <c r="B132" s="200" t="s">
        <v>167</v>
      </c>
      <c r="C132" s="196">
        <f>+C129-D129-D130-D131</f>
        <v>0</v>
      </c>
      <c r="D132" s="197">
        <f>+IF(C132&gt;=3,3,C132)</f>
        <v>0</v>
      </c>
      <c r="F132" s="294">
        <v>15.005000000000001</v>
      </c>
      <c r="G132" s="294">
        <v>9</v>
      </c>
      <c r="J132" s="294">
        <v>15.005000000000001</v>
      </c>
      <c r="K132" s="294">
        <v>9</v>
      </c>
    </row>
    <row r="133" spans="2:13" x14ac:dyDescent="0.25">
      <c r="F133" s="294">
        <v>18</v>
      </c>
      <c r="G133" s="294">
        <v>9</v>
      </c>
      <c r="J133" s="294">
        <v>18</v>
      </c>
      <c r="K133" s="294">
        <v>9</v>
      </c>
      <c r="L133" s="295">
        <f>+ROUNDUP((K130-3),0)</f>
        <v>27</v>
      </c>
      <c r="M133" t="s">
        <v>230</v>
      </c>
    </row>
    <row r="134" spans="2:13" x14ac:dyDescent="0.25">
      <c r="F134" s="294">
        <v>18.004999999999999</v>
      </c>
      <c r="G134" s="294">
        <v>15</v>
      </c>
      <c r="J134" s="294">
        <v>18.004999999999999</v>
      </c>
      <c r="K134" s="294">
        <v>15</v>
      </c>
    </row>
    <row r="135" spans="2:13" x14ac:dyDescent="0.25">
      <c r="F135" s="294">
        <v>21</v>
      </c>
      <c r="G135" s="294">
        <v>15</v>
      </c>
      <c r="J135" s="294">
        <v>21</v>
      </c>
      <c r="K135" s="294">
        <v>15</v>
      </c>
    </row>
    <row r="136" spans="2:13" x14ac:dyDescent="0.25">
      <c r="F136" s="294">
        <v>21.004999999999999</v>
      </c>
      <c r="G136" s="294">
        <v>21</v>
      </c>
      <c r="J136" s="294">
        <v>21.004999999999999</v>
      </c>
      <c r="K136" s="294">
        <v>21</v>
      </c>
    </row>
    <row r="137" spans="2:13" x14ac:dyDescent="0.25">
      <c r="F137" s="294">
        <v>24</v>
      </c>
      <c r="G137" s="294">
        <v>21</v>
      </c>
      <c r="J137" s="294">
        <v>24</v>
      </c>
      <c r="K137" s="294">
        <v>21</v>
      </c>
    </row>
    <row r="138" spans="2:13" x14ac:dyDescent="0.25">
      <c r="F138" s="294">
        <v>24.004999999999999</v>
      </c>
      <c r="G138" s="294">
        <v>27</v>
      </c>
      <c r="J138" s="294">
        <v>24.004999999999999</v>
      </c>
      <c r="K138" s="294">
        <v>27</v>
      </c>
    </row>
    <row r="139" spans="2:13" x14ac:dyDescent="0.25">
      <c r="F139" s="294">
        <v>27</v>
      </c>
      <c r="G139" s="294">
        <v>27</v>
      </c>
      <c r="J139" s="294">
        <v>27</v>
      </c>
      <c r="K139" s="294">
        <v>27</v>
      </c>
    </row>
    <row r="140" spans="2:13" x14ac:dyDescent="0.25">
      <c r="F140" s="294">
        <v>27.004999999999999</v>
      </c>
      <c r="G140" s="294">
        <v>30</v>
      </c>
      <c r="J140" s="294">
        <v>27.004999999999999</v>
      </c>
      <c r="K140" s="294">
        <v>30</v>
      </c>
    </row>
    <row r="142" spans="2:13" x14ac:dyDescent="0.25">
      <c r="B142" s="2014" t="s">
        <v>231</v>
      </c>
      <c r="C142" s="2015"/>
      <c r="D142" s="2016"/>
      <c r="F142" t="s">
        <v>231</v>
      </c>
      <c r="G142" s="292">
        <f>'Shaft type'!E18</f>
        <v>30</v>
      </c>
    </row>
    <row r="143" spans="2:13" x14ac:dyDescent="0.25">
      <c r="B143" s="195" t="s">
        <v>161</v>
      </c>
      <c r="C143" s="196">
        <f>'Shaft type'!E20+'Shaft type'!F99+'Shaft type'!F104</f>
        <v>3.0999999999999996</v>
      </c>
      <c r="D143" s="197">
        <f>+IF(C143&gt;=3,3,C143)</f>
        <v>3</v>
      </c>
      <c r="F143" t="s">
        <v>190</v>
      </c>
      <c r="G143" s="154">
        <f>'Shaft type'!E18</f>
        <v>30</v>
      </c>
      <c r="H143" s="293">
        <f>+LOOKUP(G143,F144:F153,G144:G153)</f>
        <v>30</v>
      </c>
    </row>
    <row r="144" spans="2:13" x14ac:dyDescent="0.25">
      <c r="B144" s="200" t="s">
        <v>162</v>
      </c>
      <c r="C144" s="196">
        <f>+C143-D143</f>
        <v>9.9999999999999645E-2</v>
      </c>
      <c r="D144" s="197">
        <f>+IF(C144&gt;=3,3,C144)</f>
        <v>9.9999999999999645E-2</v>
      </c>
      <c r="F144" s="294">
        <v>15</v>
      </c>
      <c r="G144" s="294">
        <v>1</v>
      </c>
    </row>
    <row r="145" spans="2:9" x14ac:dyDescent="0.25">
      <c r="B145" s="200" t="s">
        <v>164</v>
      </c>
      <c r="C145" s="196">
        <f>+C144-D144</f>
        <v>0</v>
      </c>
      <c r="D145" s="197">
        <f>+IF(C145&gt;=3,3,C145)</f>
        <v>0</v>
      </c>
      <c r="F145" s="294">
        <v>15.005000000000001</v>
      </c>
      <c r="G145" s="294">
        <v>9</v>
      </c>
    </row>
    <row r="146" spans="2:9" x14ac:dyDescent="0.25">
      <c r="B146" s="200" t="s">
        <v>167</v>
      </c>
      <c r="C146" s="196">
        <f>+C143-D143-D144-D145</f>
        <v>0</v>
      </c>
      <c r="D146" s="197">
        <f>+IF(C146&gt;=3,3,C146)</f>
        <v>0</v>
      </c>
      <c r="F146" s="294">
        <v>18</v>
      </c>
      <c r="G146" s="294">
        <v>9</v>
      </c>
    </row>
    <row r="147" spans="2:9" x14ac:dyDescent="0.25">
      <c r="F147" s="294">
        <v>18.004999999999999</v>
      </c>
      <c r="G147" s="294">
        <v>15</v>
      </c>
    </row>
    <row r="148" spans="2:9" x14ac:dyDescent="0.25">
      <c r="B148" s="296" t="s">
        <v>232</v>
      </c>
      <c r="E148" s="154">
        <f>'Shaft type'!E24</f>
        <v>0.3</v>
      </c>
      <c r="F148" s="294">
        <v>21</v>
      </c>
      <c r="G148" s="294">
        <v>15</v>
      </c>
    </row>
    <row r="149" spans="2:9" x14ac:dyDescent="0.25">
      <c r="B149" s="296" t="s">
        <v>233</v>
      </c>
      <c r="E149" s="154">
        <f>'Shaft type'!E23</f>
        <v>0.2</v>
      </c>
      <c r="F149" s="294">
        <v>21.004999999999999</v>
      </c>
      <c r="G149" s="294">
        <v>21</v>
      </c>
    </row>
    <row r="150" spans="2:9" x14ac:dyDescent="0.25">
      <c r="B150" s="113" t="s">
        <v>234</v>
      </c>
      <c r="E150" s="290">
        <f>'Shaft type'!E27</f>
        <v>0.3</v>
      </c>
      <c r="F150" s="294">
        <v>24</v>
      </c>
      <c r="G150" s="294">
        <v>21</v>
      </c>
    </row>
    <row r="151" spans="2:9" x14ac:dyDescent="0.25">
      <c r="B151" s="113" t="s">
        <v>235</v>
      </c>
      <c r="D151" s="297">
        <f>'Shaft type'!E29</f>
        <v>0.3</v>
      </c>
      <c r="E151" s="297">
        <f>'Shaft type'!E30</f>
        <v>0.4</v>
      </c>
      <c r="F151" s="294">
        <v>24.004999999999999</v>
      </c>
      <c r="G151" s="294">
        <v>27</v>
      </c>
    </row>
    <row r="152" spans="2:9" x14ac:dyDescent="0.25">
      <c r="B152" t="s">
        <v>236</v>
      </c>
      <c r="E152" s="154">
        <f>'Shaft type'!E32</f>
        <v>0.2</v>
      </c>
      <c r="F152" s="294">
        <v>27</v>
      </c>
      <c r="G152" s="294">
        <v>27</v>
      </c>
    </row>
    <row r="153" spans="2:9" x14ac:dyDescent="0.25">
      <c r="B153" s="113" t="s">
        <v>237</v>
      </c>
      <c r="D153" s="298">
        <f>'Shaft type'!E36</f>
        <v>0.3</v>
      </c>
      <c r="E153" s="297">
        <f>'Shaft type'!E37</f>
        <v>0.4</v>
      </c>
      <c r="F153" s="294">
        <v>27.004999999999999</v>
      </c>
      <c r="G153" s="294">
        <v>30</v>
      </c>
    </row>
    <row r="154" spans="2:9" x14ac:dyDescent="0.25">
      <c r="B154" s="113" t="s">
        <v>238</v>
      </c>
      <c r="E154">
        <f>'Shaft type'!E46</f>
        <v>0.15</v>
      </c>
    </row>
    <row r="155" spans="2:9" x14ac:dyDescent="0.25">
      <c r="B155" s="113" t="s">
        <v>239</v>
      </c>
      <c r="E155">
        <f>RAM!E154</f>
        <v>0.15</v>
      </c>
    </row>
    <row r="156" spans="2:9" x14ac:dyDescent="0.25">
      <c r="B156" s="113" t="s">
        <v>240</v>
      </c>
      <c r="E156" s="290">
        <f>'Shaft type'!E42</f>
        <v>0.125</v>
      </c>
    </row>
    <row r="158" spans="2:9" x14ac:dyDescent="0.25">
      <c r="B158" s="2017" t="s">
        <v>241</v>
      </c>
      <c r="C158" s="2018"/>
      <c r="D158" s="2019"/>
      <c r="E158" s="215"/>
    </row>
    <row r="159" spans="2:9" x14ac:dyDescent="0.25">
      <c r="B159" s="216"/>
      <c r="C159" s="90"/>
      <c r="D159" s="90"/>
      <c r="E159" s="253"/>
      <c r="H159" s="299">
        <f>'C well'!C77</f>
        <v>450</v>
      </c>
      <c r="I159" s="300">
        <f>+LOOKUP(H159,G161:G174,H161:H174)</f>
        <v>72.400000000000006</v>
      </c>
    </row>
    <row r="160" spans="2:9" x14ac:dyDescent="0.25">
      <c r="B160" s="195" t="s">
        <v>161</v>
      </c>
      <c r="C160" s="196">
        <f>+'C well'!C23+'C well'!B29+'C well'!F55</f>
        <v>5.7</v>
      </c>
      <c r="D160" s="197">
        <f>+IF(C160&gt;=3,3,C160)</f>
        <v>3</v>
      </c>
      <c r="E160" s="253"/>
      <c r="G160" s="301" t="s">
        <v>242</v>
      </c>
      <c r="H160" s="301" t="s">
        <v>243</v>
      </c>
    </row>
    <row r="161" spans="2:15" x14ac:dyDescent="0.25">
      <c r="B161" s="200" t="s">
        <v>162</v>
      </c>
      <c r="C161" s="196">
        <f>+C160-D160</f>
        <v>2.7</v>
      </c>
      <c r="D161" s="197">
        <f>+IF(C161&gt;=3,3,C161)</f>
        <v>2.7</v>
      </c>
      <c r="E161" s="253"/>
      <c r="G161" s="301">
        <v>100</v>
      </c>
      <c r="H161" s="302">
        <v>11.5</v>
      </c>
    </row>
    <row r="162" spans="2:15" x14ac:dyDescent="0.25">
      <c r="B162" s="200" t="s">
        <v>164</v>
      </c>
      <c r="C162" s="196">
        <f>+C161-D161</f>
        <v>0</v>
      </c>
      <c r="D162" s="197">
        <f>+IF(C162&gt;=3,3,C162)</f>
        <v>0</v>
      </c>
      <c r="E162" s="253"/>
      <c r="G162" s="301">
        <v>125</v>
      </c>
      <c r="H162" s="302">
        <v>13</v>
      </c>
    </row>
    <row r="163" spans="2:15" x14ac:dyDescent="0.25">
      <c r="B163" s="200" t="s">
        <v>167</v>
      </c>
      <c r="C163" s="196">
        <f>+C160-D160-D161-D162</f>
        <v>0</v>
      </c>
      <c r="D163" s="197">
        <f>+IF(C163&gt;=3,3,C163)</f>
        <v>0</v>
      </c>
      <c r="E163" s="253"/>
      <c r="G163" s="301">
        <v>150</v>
      </c>
      <c r="H163" s="302">
        <v>14.9</v>
      </c>
      <c r="K163" s="300">
        <f>'C well'!C78</f>
        <v>6</v>
      </c>
      <c r="L163" s="300">
        <f>+LOOKUP(K163,J165:J168,K165:K168)</f>
        <v>9.1999999999999993</v>
      </c>
      <c r="N163" s="204" t="s">
        <v>244</v>
      </c>
      <c r="O163" s="204">
        <v>1</v>
      </c>
    </row>
    <row r="164" spans="2:15" x14ac:dyDescent="0.25">
      <c r="B164" s="216"/>
      <c r="C164" s="90"/>
      <c r="D164" s="90"/>
      <c r="E164" s="253"/>
      <c r="G164" s="301">
        <v>175</v>
      </c>
      <c r="H164" s="302">
        <v>19.3</v>
      </c>
      <c r="J164" s="91" t="s">
        <v>245</v>
      </c>
      <c r="K164" s="303" t="s">
        <v>243</v>
      </c>
      <c r="N164" s="204" t="s">
        <v>246</v>
      </c>
      <c r="O164" s="204">
        <v>2</v>
      </c>
    </row>
    <row r="165" spans="2:15" x14ac:dyDescent="0.25">
      <c r="B165" s="216" t="s">
        <v>123</v>
      </c>
      <c r="C165" s="90"/>
      <c r="D165" s="90" t="s">
        <v>247</v>
      </c>
      <c r="E165" s="304">
        <f>'C well'!K19</f>
        <v>0.45</v>
      </c>
      <c r="G165" s="301">
        <v>200</v>
      </c>
      <c r="H165" s="302">
        <v>25.4</v>
      </c>
      <c r="J165" s="91">
        <v>6</v>
      </c>
      <c r="K165" s="91">
        <v>9.1999999999999993</v>
      </c>
      <c r="N165" s="204" t="s">
        <v>248</v>
      </c>
      <c r="O165" s="204">
        <v>3</v>
      </c>
    </row>
    <row r="166" spans="2:15" x14ac:dyDescent="0.25">
      <c r="B166" s="216"/>
      <c r="C166" s="90"/>
      <c r="D166" s="90" t="s">
        <v>249</v>
      </c>
      <c r="E166" s="304">
        <f>+'C well'!K20</f>
        <v>0.4</v>
      </c>
      <c r="G166" s="301">
        <v>225</v>
      </c>
      <c r="H166" s="302">
        <v>31.2</v>
      </c>
      <c r="J166" s="91">
        <v>8</v>
      </c>
      <c r="K166" s="91">
        <v>12.1</v>
      </c>
      <c r="N166" s="204" t="s">
        <v>250</v>
      </c>
      <c r="O166" s="204">
        <v>4</v>
      </c>
    </row>
    <row r="167" spans="2:15" x14ac:dyDescent="0.25">
      <c r="B167" s="216"/>
      <c r="C167" s="90"/>
      <c r="D167" s="90" t="s">
        <v>251</v>
      </c>
      <c r="E167" s="304">
        <f>+'C well'!K21</f>
        <v>0.35</v>
      </c>
      <c r="G167" s="301">
        <v>250</v>
      </c>
      <c r="H167" s="302">
        <v>37.299999999999997</v>
      </c>
      <c r="J167" s="91">
        <v>10</v>
      </c>
      <c r="K167" s="91">
        <v>14.9</v>
      </c>
      <c r="N167" s="204" t="s">
        <v>252</v>
      </c>
      <c r="O167" s="204">
        <v>5</v>
      </c>
    </row>
    <row r="168" spans="2:15" x14ac:dyDescent="0.25">
      <c r="B168" s="216"/>
      <c r="C168" s="90"/>
      <c r="D168" s="305" t="s">
        <v>253</v>
      </c>
      <c r="E168" s="304">
        <f>+'C well'!K22</f>
        <v>0.3</v>
      </c>
      <c r="G168" s="301">
        <v>300</v>
      </c>
      <c r="H168" s="302">
        <v>44.2</v>
      </c>
      <c r="J168" s="91">
        <v>12</v>
      </c>
      <c r="K168" s="91">
        <v>17.7</v>
      </c>
      <c r="N168" s="204" t="s">
        <v>254</v>
      </c>
      <c r="O168" s="204">
        <v>6</v>
      </c>
    </row>
    <row r="169" spans="2:15" x14ac:dyDescent="0.25">
      <c r="B169" s="216"/>
      <c r="C169" s="90"/>
      <c r="D169" s="305" t="s">
        <v>255</v>
      </c>
      <c r="E169" s="304">
        <f>+'C well'!K23</f>
        <v>0.27500000000000002</v>
      </c>
      <c r="G169" s="301">
        <v>350</v>
      </c>
      <c r="H169" s="302">
        <v>52.4</v>
      </c>
    </row>
    <row r="170" spans="2:15" x14ac:dyDescent="0.25">
      <c r="B170" t="s">
        <v>256</v>
      </c>
      <c r="E170">
        <f>'C well'!C16</f>
        <v>0.2</v>
      </c>
      <c r="G170" s="301">
        <v>400</v>
      </c>
      <c r="H170" s="302">
        <v>61.6</v>
      </c>
    </row>
    <row r="171" spans="2:15" x14ac:dyDescent="0.25">
      <c r="B171" s="216" t="s">
        <v>257</v>
      </c>
      <c r="C171" s="90"/>
      <c r="D171" s="305"/>
      <c r="E171" s="304">
        <f>'C well'!C9</f>
        <v>0.15</v>
      </c>
      <c r="G171" s="301">
        <v>450</v>
      </c>
      <c r="H171" s="302">
        <v>72.400000000000006</v>
      </c>
    </row>
    <row r="172" spans="2:15" x14ac:dyDescent="0.25">
      <c r="B172" s="216" t="s">
        <v>163</v>
      </c>
      <c r="C172" s="90"/>
      <c r="D172" s="90"/>
      <c r="E172" s="304">
        <f>'C well'!B29</f>
        <v>0.4</v>
      </c>
      <c r="G172" s="301">
        <v>500</v>
      </c>
      <c r="H172" s="302">
        <v>86.9</v>
      </c>
    </row>
    <row r="173" spans="2:15" x14ac:dyDescent="0.25">
      <c r="B173" s="216" t="s">
        <v>212</v>
      </c>
      <c r="C173" s="90"/>
      <c r="D173" s="90"/>
      <c r="E173" s="304">
        <f>'C well'!B28</f>
        <v>1.65</v>
      </c>
      <c r="G173" s="301">
        <v>550</v>
      </c>
      <c r="H173" s="302">
        <v>103.7</v>
      </c>
    </row>
    <row r="174" spans="2:15" x14ac:dyDescent="0.25">
      <c r="B174" s="216" t="s">
        <v>215</v>
      </c>
      <c r="C174" s="90"/>
      <c r="D174" s="90"/>
      <c r="E174" s="304">
        <f>'C well'!C4</f>
        <v>0.15</v>
      </c>
      <c r="G174" s="301">
        <v>600</v>
      </c>
      <c r="H174" s="302">
        <v>122.6</v>
      </c>
    </row>
    <row r="175" spans="2:15" x14ac:dyDescent="0.25">
      <c r="B175" s="229"/>
      <c r="C175" s="141"/>
      <c r="D175" s="141"/>
      <c r="E175" s="260"/>
    </row>
    <row r="178" spans="2:4" x14ac:dyDescent="0.25">
      <c r="B178" t="s">
        <v>258</v>
      </c>
    </row>
    <row r="179" spans="2:4" x14ac:dyDescent="0.25">
      <c r="B179" s="206" t="s">
        <v>259</v>
      </c>
      <c r="C179" s="91"/>
      <c r="D179" s="256">
        <f>'Sump rec'!C20</f>
        <v>0.2</v>
      </c>
    </row>
    <row r="180" spans="2:4" x14ac:dyDescent="0.25">
      <c r="B180" s="206" t="s">
        <v>260</v>
      </c>
      <c r="C180" s="91"/>
      <c r="D180" s="256">
        <f>'Sump rec'!C21</f>
        <v>0.15</v>
      </c>
    </row>
  </sheetData>
  <sheetProtection password="DD45" sheet="1" objects="1" scenarios="1"/>
  <mergeCells count="12">
    <mergeCell ref="Q110:V110"/>
    <mergeCell ref="B128:D128"/>
    <mergeCell ref="B142:D142"/>
    <mergeCell ref="B158:D158"/>
    <mergeCell ref="G13:L13"/>
    <mergeCell ref="F45:G45"/>
    <mergeCell ref="J45:J51"/>
    <mergeCell ref="M47:N47"/>
    <mergeCell ref="M48:N48"/>
    <mergeCell ref="J52:J64"/>
    <mergeCell ref="L110:M110"/>
    <mergeCell ref="N110:O110"/>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opLeftCell="A11" workbookViewId="0">
      <selection activeCell="M21" sqref="M21"/>
    </sheetView>
  </sheetViews>
  <sheetFormatPr defaultColWidth="9.140625" defaultRowHeight="15" x14ac:dyDescent="0.25"/>
  <cols>
    <col min="1" max="1" width="6.42578125" style="1794" customWidth="1"/>
    <col min="2" max="2" width="35" style="1794" customWidth="1"/>
    <col min="3" max="3" width="6.7109375" style="1794" customWidth="1"/>
    <col min="4" max="7" width="7.7109375" style="1794" customWidth="1"/>
    <col min="8" max="8" width="6.140625" style="1794" customWidth="1"/>
    <col min="9" max="9" width="10.140625" style="1794" bestFit="1" customWidth="1"/>
    <col min="10" max="10" width="5.7109375" style="1794" customWidth="1"/>
    <col min="11" max="11" width="12.7109375" style="1794" customWidth="1"/>
    <col min="12" max="16384" width="9.140625" style="1794"/>
  </cols>
  <sheetData>
    <row r="1" spans="1:11" ht="16.5" x14ac:dyDescent="0.25">
      <c r="A1" s="2172" t="s">
        <v>2025</v>
      </c>
      <c r="B1" s="2172"/>
      <c r="C1" s="2172"/>
      <c r="D1" s="2172"/>
      <c r="E1" s="2172"/>
      <c r="F1" s="2172"/>
      <c r="G1" s="2172"/>
      <c r="H1" s="2172"/>
      <c r="I1" s="2172"/>
      <c r="J1" s="2172"/>
      <c r="K1" s="2172"/>
    </row>
    <row r="2" spans="1:11" ht="16.5" x14ac:dyDescent="0.25">
      <c r="A2" s="2172" t="s">
        <v>2047</v>
      </c>
      <c r="B2" s="2172"/>
      <c r="C2" s="2172"/>
      <c r="D2" s="2172"/>
      <c r="E2" s="2172"/>
      <c r="F2" s="2172"/>
      <c r="G2" s="2172"/>
      <c r="H2" s="2172"/>
      <c r="I2" s="2172"/>
      <c r="J2" s="2172"/>
      <c r="K2" s="2172"/>
    </row>
    <row r="3" spans="1:11" ht="16.5" x14ac:dyDescent="0.25">
      <c r="A3" s="2172" t="s">
        <v>2048</v>
      </c>
      <c r="B3" s="2172"/>
      <c r="C3" s="2172"/>
      <c r="D3" s="2172"/>
      <c r="E3" s="2172"/>
      <c r="F3" s="2172"/>
      <c r="G3" s="2172"/>
      <c r="H3" s="2172"/>
      <c r="I3" s="2172"/>
      <c r="J3" s="2172"/>
      <c r="K3" s="2172"/>
    </row>
    <row r="5" spans="1:11" ht="16.5" x14ac:dyDescent="0.25">
      <c r="A5" s="1792" t="s">
        <v>83</v>
      </c>
      <c r="B5" s="1793" t="s">
        <v>2028</v>
      </c>
      <c r="C5" s="1793" t="s">
        <v>1262</v>
      </c>
      <c r="D5" s="1793" t="s">
        <v>342</v>
      </c>
      <c r="E5" s="1793" t="s">
        <v>343</v>
      </c>
      <c r="F5" s="1793" t="s">
        <v>344</v>
      </c>
      <c r="G5" s="1793" t="s">
        <v>512</v>
      </c>
      <c r="H5" s="1793" t="s">
        <v>1378</v>
      </c>
      <c r="I5" s="1793" t="s">
        <v>140</v>
      </c>
      <c r="J5" s="1793" t="s">
        <v>401</v>
      </c>
      <c r="K5" s="1793" t="s">
        <v>141</v>
      </c>
    </row>
    <row r="6" spans="1:11" ht="16.5" x14ac:dyDescent="0.25">
      <c r="A6" s="1832"/>
      <c r="B6" s="1833"/>
      <c r="C6" s="1833"/>
      <c r="D6" s="1833"/>
      <c r="E6" s="1833"/>
      <c r="F6" s="1833"/>
      <c r="G6" s="1833"/>
      <c r="H6" s="1833"/>
      <c r="I6" s="1833"/>
      <c r="J6" s="1833"/>
      <c r="K6" s="1834"/>
    </row>
    <row r="7" spans="1:11" s="1835" customFormat="1" ht="67.5" customHeight="1" x14ac:dyDescent="0.25">
      <c r="A7" s="1799">
        <v>1</v>
      </c>
      <c r="B7" s="1800" t="s">
        <v>2042</v>
      </c>
      <c r="C7" s="1803" t="s">
        <v>483</v>
      </c>
      <c r="D7" s="1802">
        <f>1.2+0.2+0.4</f>
        <v>1.7999999999999998</v>
      </c>
      <c r="E7" s="1802">
        <f>1.2+0.2+0.4</f>
        <v>1.7999999999999998</v>
      </c>
      <c r="F7" s="1802">
        <f>2.1+0.1+0.15</f>
        <v>2.35</v>
      </c>
      <c r="G7" s="1802">
        <f>ROUND((D7*E7*F7),2)</f>
        <v>7.61</v>
      </c>
      <c r="H7" s="1802" t="s">
        <v>20</v>
      </c>
      <c r="I7" s="1804">
        <f>'VC 450'!I7</f>
        <v>158.80000000000001</v>
      </c>
      <c r="J7" s="1804" t="s">
        <v>20</v>
      </c>
      <c r="K7" s="1891">
        <f>ROUND((G7*I7),0)</f>
        <v>1208</v>
      </c>
    </row>
    <row r="8" spans="1:11" s="1835" customFormat="1" x14ac:dyDescent="0.25">
      <c r="A8" s="1799"/>
      <c r="B8" s="1803"/>
      <c r="C8" s="1803"/>
      <c r="D8" s="1803"/>
      <c r="E8" s="1803"/>
      <c r="F8" s="1803"/>
      <c r="G8" s="1803"/>
      <c r="H8" s="1803"/>
      <c r="I8" s="1804"/>
      <c r="J8" s="1804"/>
      <c r="K8" s="1891"/>
    </row>
    <row r="9" spans="1:11" s="1835" customFormat="1" ht="65.25" customHeight="1" x14ac:dyDescent="0.25">
      <c r="A9" s="1799">
        <v>2</v>
      </c>
      <c r="B9" s="1800" t="s">
        <v>2030</v>
      </c>
      <c r="C9" s="1803" t="s">
        <v>483</v>
      </c>
      <c r="D9" s="1802">
        <v>1.8</v>
      </c>
      <c r="E9" s="1802">
        <v>1.8</v>
      </c>
      <c r="F9" s="1802">
        <v>0.15</v>
      </c>
      <c r="G9" s="1802">
        <f>ROUND((D9*E9*F9),2)</f>
        <v>0.49</v>
      </c>
      <c r="H9" s="1802" t="s">
        <v>20</v>
      </c>
      <c r="I9" s="1804">
        <f>'VC 450'!I9</f>
        <v>4503.5</v>
      </c>
      <c r="J9" s="1804" t="s">
        <v>20</v>
      </c>
      <c r="K9" s="1891">
        <f>ROUND((G9*I9),0)</f>
        <v>2207</v>
      </c>
    </row>
    <row r="10" spans="1:11" s="1835" customFormat="1" x14ac:dyDescent="0.25">
      <c r="A10" s="1799"/>
      <c r="B10" s="1805"/>
      <c r="C10" s="1803"/>
      <c r="D10" s="1803"/>
      <c r="E10" s="1803"/>
      <c r="F10" s="1803"/>
      <c r="G10" s="1803"/>
      <c r="H10" s="1803"/>
      <c r="I10" s="1804"/>
      <c r="J10" s="1804"/>
      <c r="K10" s="1891"/>
    </row>
    <row r="11" spans="1:11" s="1835" customFormat="1" ht="79.5" customHeight="1" x14ac:dyDescent="0.25">
      <c r="A11" s="1799">
        <v>3</v>
      </c>
      <c r="B11" s="1800" t="s">
        <v>2031</v>
      </c>
      <c r="C11" s="1803"/>
      <c r="D11" s="1802"/>
      <c r="E11" s="1802"/>
      <c r="F11" s="1802"/>
      <c r="G11" s="1802"/>
      <c r="H11" s="1802"/>
      <c r="I11" s="1804"/>
      <c r="J11" s="1804"/>
      <c r="K11" s="1891"/>
    </row>
    <row r="12" spans="1:11" s="1835" customFormat="1" ht="27.75" customHeight="1" x14ac:dyDescent="0.25">
      <c r="A12" s="1799"/>
      <c r="B12" s="1805" t="s">
        <v>2032</v>
      </c>
      <c r="C12" s="1803" t="s">
        <v>483</v>
      </c>
      <c r="D12" s="1802">
        <f>1.4+0.2</f>
        <v>1.5999999999999999</v>
      </c>
      <c r="E12" s="1802">
        <f>1.4+0.2</f>
        <v>1.5999999999999999</v>
      </c>
      <c r="F12" s="1802">
        <v>0.1</v>
      </c>
      <c r="G12" s="1802">
        <f>ROUND((D12*E12*F12),2)</f>
        <v>0.26</v>
      </c>
      <c r="H12" s="1802" t="s">
        <v>20</v>
      </c>
      <c r="I12" s="1804">
        <f>'VC 450'!I12</f>
        <v>7284.3</v>
      </c>
      <c r="J12" s="1804" t="s">
        <v>20</v>
      </c>
      <c r="K12" s="1891">
        <f>ROUND((G12*I12),0)</f>
        <v>1894</v>
      </c>
    </row>
    <row r="13" spans="1:11" s="1835" customFormat="1" ht="27.75" customHeight="1" x14ac:dyDescent="0.25">
      <c r="A13" s="1799"/>
      <c r="B13" s="1805" t="s">
        <v>2033</v>
      </c>
      <c r="C13" s="1803" t="s">
        <v>483</v>
      </c>
      <c r="D13" s="1802">
        <v>5.2</v>
      </c>
      <c r="E13" s="1802">
        <v>0.1</v>
      </c>
      <c r="F13" s="1802">
        <v>2.1</v>
      </c>
      <c r="G13" s="1802">
        <f>ROUND((D13*E13*F13),2)</f>
        <v>1.0900000000000001</v>
      </c>
      <c r="H13" s="1802" t="s">
        <v>20</v>
      </c>
      <c r="I13" s="1804">
        <f>'VC 450'!I13</f>
        <v>18586.900000000001</v>
      </c>
      <c r="J13" s="1804" t="s">
        <v>20</v>
      </c>
      <c r="K13" s="1891">
        <f>ROUND((G13*I13),0)</f>
        <v>20260</v>
      </c>
    </row>
    <row r="14" spans="1:11" s="1835" customFormat="1" ht="27.75" customHeight="1" x14ac:dyDescent="0.25">
      <c r="A14" s="1799"/>
      <c r="B14" s="1805" t="s">
        <v>2034</v>
      </c>
      <c r="C14" s="1803" t="s">
        <v>483</v>
      </c>
      <c r="D14" s="1802">
        <v>1.4</v>
      </c>
      <c r="E14" s="1802">
        <v>1.4</v>
      </c>
      <c r="F14" s="1802">
        <v>0.1</v>
      </c>
      <c r="G14" s="1802">
        <f>ROUND((D14*E14*F14),2)</f>
        <v>0.2</v>
      </c>
      <c r="H14" s="1802" t="s">
        <v>20</v>
      </c>
      <c r="I14" s="1804">
        <f>'VC 450'!I14</f>
        <v>7284.3</v>
      </c>
      <c r="J14" s="1804" t="s">
        <v>20</v>
      </c>
      <c r="K14" s="1893">
        <f>ROUND((G14*I14),0)</f>
        <v>1457</v>
      </c>
    </row>
    <row r="15" spans="1:11" s="1835" customFormat="1" x14ac:dyDescent="0.25">
      <c r="A15" s="1799"/>
      <c r="B15" s="1803"/>
      <c r="C15" s="1803"/>
      <c r="D15" s="1802"/>
      <c r="E15" s="1802"/>
      <c r="F15" s="1802"/>
      <c r="G15" s="1802"/>
      <c r="H15" s="1802"/>
      <c r="I15" s="1804"/>
      <c r="J15" s="1804"/>
      <c r="K15" s="1894"/>
    </row>
    <row r="16" spans="1:11" s="1835" customFormat="1" x14ac:dyDescent="0.25">
      <c r="A16" s="1799"/>
      <c r="B16" s="1803"/>
      <c r="C16" s="1803"/>
      <c r="D16" s="1802"/>
      <c r="E16" s="1802"/>
      <c r="F16" s="1802"/>
      <c r="G16" s="1802"/>
      <c r="H16" s="1802"/>
      <c r="I16" s="1804"/>
      <c r="J16" s="1804"/>
      <c r="K16" s="1891"/>
    </row>
    <row r="17" spans="1:13" s="1835" customFormat="1" ht="24.75" customHeight="1" x14ac:dyDescent="0.25">
      <c r="A17" s="1799">
        <v>4</v>
      </c>
      <c r="B17" s="1805" t="s">
        <v>2046</v>
      </c>
      <c r="C17" s="1810"/>
      <c r="D17" s="1802"/>
      <c r="E17" s="1802"/>
      <c r="F17" s="1802"/>
      <c r="G17" s="1836">
        <v>74</v>
      </c>
      <c r="H17" s="1802" t="s">
        <v>1131</v>
      </c>
      <c r="I17" s="1804">
        <f>'VC 450'!I17</f>
        <v>60670.400000000001</v>
      </c>
      <c r="J17" s="1804" t="s">
        <v>486</v>
      </c>
      <c r="K17" s="1891">
        <f>ROUND((G17*I17/1000),0)</f>
        <v>4490</v>
      </c>
    </row>
    <row r="18" spans="1:13" s="1835" customFormat="1" x14ac:dyDescent="0.25">
      <c r="A18" s="1799"/>
      <c r="B18" s="1803"/>
      <c r="C18" s="1803"/>
      <c r="D18" s="1802"/>
      <c r="E18" s="1802"/>
      <c r="F18" s="1802"/>
      <c r="G18" s="1802"/>
      <c r="H18" s="1802"/>
      <c r="I18" s="1804"/>
      <c r="J18" s="1804"/>
      <c r="K18" s="1891"/>
    </row>
    <row r="19" spans="1:13" s="1835" customFormat="1" x14ac:dyDescent="0.25">
      <c r="A19" s="1799">
        <v>5</v>
      </c>
      <c r="B19" s="1803" t="s">
        <v>2049</v>
      </c>
      <c r="C19" s="1803"/>
      <c r="D19" s="1802"/>
      <c r="E19" s="1802"/>
      <c r="F19" s="1802"/>
      <c r="G19" s="1802"/>
      <c r="H19" s="1802"/>
      <c r="I19" s="1804"/>
      <c r="J19" s="1804"/>
      <c r="K19" s="1891">
        <f>ROUND(SUM(K7:K17),0)</f>
        <v>31516</v>
      </c>
    </row>
    <row r="20" spans="1:13" s="1835" customFormat="1" x14ac:dyDescent="0.3">
      <c r="A20" s="1811"/>
      <c r="B20" s="1812"/>
      <c r="C20" s="1812"/>
      <c r="D20" s="1814"/>
      <c r="E20" s="1814"/>
      <c r="F20" s="1814"/>
      <c r="G20" s="1814"/>
      <c r="H20" s="1814"/>
      <c r="I20" s="1815"/>
      <c r="J20" s="1815"/>
      <c r="K20" s="1897"/>
    </row>
    <row r="21" spans="1:13" s="1842" customFormat="1" x14ac:dyDescent="0.25">
      <c r="A21" s="1837"/>
      <c r="B21" s="1838" t="s">
        <v>2050</v>
      </c>
      <c r="C21" s="1839"/>
      <c r="D21" s="1840"/>
      <c r="E21" s="1840"/>
      <c r="F21" s="1840"/>
      <c r="G21" s="1840"/>
      <c r="H21" s="1840"/>
      <c r="I21" s="1841"/>
      <c r="J21" s="1841"/>
      <c r="K21" s="1898">
        <f>SUM(K7:K19)</f>
        <v>63032</v>
      </c>
      <c r="M21" s="1907">
        <f>K21-K19</f>
        <v>31516</v>
      </c>
    </row>
    <row r="22" spans="1:13" ht="16.5" x14ac:dyDescent="0.25">
      <c r="A22" s="1831"/>
    </row>
    <row r="25" spans="1:13" s="1843" customFormat="1" ht="16.5" x14ac:dyDescent="0.3">
      <c r="E25" s="1844"/>
      <c r="K25" s="1845"/>
    </row>
    <row r="26" spans="1:13" s="1843" customFormat="1" ht="16.5" x14ac:dyDescent="0.3">
      <c r="E26" s="1844"/>
      <c r="K26" s="1845"/>
    </row>
  </sheetData>
  <mergeCells count="3">
    <mergeCell ref="A1:K1"/>
    <mergeCell ref="A2:K2"/>
    <mergeCell ref="A3:K3"/>
  </mergeCells>
  <pageMargins left="0.7" right="0.7" top="0.75" bottom="0.75" header="0.3" footer="0.3"/>
  <pageSetup scale="79" orientation="portrait" verticalDpi="0" r:id="rId1"/>
  <colBreaks count="1" manualBreakCount="1">
    <brk id="11"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opLeftCell="A16" workbookViewId="0">
      <selection activeCell="M24" sqref="M24"/>
    </sheetView>
  </sheetViews>
  <sheetFormatPr defaultColWidth="9.140625" defaultRowHeight="15" x14ac:dyDescent="0.25"/>
  <cols>
    <col min="1" max="1" width="5.42578125" style="1794" customWidth="1"/>
    <col min="2" max="2" width="37" style="1794" customWidth="1"/>
    <col min="3" max="3" width="7.5703125" style="1794" customWidth="1"/>
    <col min="4" max="7" width="7.5703125" style="1860" customWidth="1"/>
    <col min="8" max="8" width="7.5703125" style="1794" customWidth="1"/>
    <col min="9" max="9" width="9.42578125" style="1861" bestFit="1" customWidth="1"/>
    <col min="10" max="10" width="6.85546875" style="1794" customWidth="1"/>
    <col min="11" max="11" width="10.85546875" style="1861" customWidth="1"/>
    <col min="12" max="16384" width="9.140625" style="1794"/>
  </cols>
  <sheetData>
    <row r="1" spans="1:11" ht="16.5" x14ac:dyDescent="0.25">
      <c r="A1" s="2172" t="s">
        <v>2025</v>
      </c>
      <c r="B1" s="2172"/>
      <c r="C1" s="2172"/>
      <c r="D1" s="2172"/>
      <c r="E1" s="2172"/>
      <c r="F1" s="2172"/>
      <c r="G1" s="2172"/>
      <c r="H1" s="2172"/>
      <c r="I1" s="2172"/>
      <c r="J1" s="2172"/>
      <c r="K1" s="2172"/>
    </row>
    <row r="2" spans="1:11" ht="16.5" x14ac:dyDescent="0.25">
      <c r="A2" s="2172" t="s">
        <v>2051</v>
      </c>
      <c r="B2" s="2172"/>
      <c r="C2" s="2172"/>
      <c r="D2" s="2172"/>
      <c r="E2" s="2172"/>
      <c r="F2" s="2172"/>
      <c r="G2" s="2172"/>
      <c r="H2" s="2172"/>
      <c r="I2" s="2172"/>
      <c r="J2" s="2172"/>
      <c r="K2" s="2172"/>
    </row>
    <row r="3" spans="1:11" ht="16.5" x14ac:dyDescent="0.25">
      <c r="A3" s="2172" t="s">
        <v>2052</v>
      </c>
      <c r="B3" s="2172"/>
      <c r="C3" s="2172"/>
      <c r="D3" s="2172"/>
      <c r="E3" s="2172"/>
      <c r="F3" s="2172"/>
      <c r="G3" s="2172"/>
      <c r="H3" s="2172"/>
      <c r="I3" s="2172"/>
      <c r="J3" s="2172"/>
      <c r="K3" s="2172"/>
    </row>
    <row r="4" spans="1:11" s="1849" customFormat="1" ht="33" x14ac:dyDescent="0.25">
      <c r="A4" s="1792" t="s">
        <v>2053</v>
      </c>
      <c r="B4" s="1792" t="s">
        <v>2054</v>
      </c>
      <c r="C4" s="1792" t="s">
        <v>1262</v>
      </c>
      <c r="D4" s="1846" t="s">
        <v>1709</v>
      </c>
      <c r="E4" s="1846" t="s">
        <v>1760</v>
      </c>
      <c r="F4" s="1846" t="s">
        <v>1761</v>
      </c>
      <c r="G4" s="1846" t="s">
        <v>512</v>
      </c>
      <c r="H4" s="1792" t="s">
        <v>1378</v>
      </c>
      <c r="I4" s="1847" t="s">
        <v>140</v>
      </c>
      <c r="J4" s="1792" t="s">
        <v>401</v>
      </c>
      <c r="K4" s="1848" t="s">
        <v>2055</v>
      </c>
    </row>
    <row r="5" spans="1:11" ht="16.5" x14ac:dyDescent="0.25">
      <c r="A5" s="1850"/>
      <c r="B5" s="1851"/>
      <c r="C5" s="1851"/>
      <c r="D5" s="1852"/>
      <c r="E5" s="1852"/>
      <c r="F5" s="1852"/>
      <c r="G5" s="1852"/>
      <c r="H5" s="1851"/>
      <c r="I5" s="1853"/>
      <c r="J5" s="1851"/>
      <c r="K5" s="1854"/>
    </row>
    <row r="6" spans="1:11" s="1857" customFormat="1" ht="49.5" customHeight="1" x14ac:dyDescent="0.25">
      <c r="A6" s="1855">
        <v>1</v>
      </c>
      <c r="B6" s="1800" t="s">
        <v>2056</v>
      </c>
      <c r="C6" s="1805" t="s">
        <v>483</v>
      </c>
      <c r="D6" s="1836">
        <f>1.7+0.2+0.2+0.2+0.2</f>
        <v>2.5000000000000004</v>
      </c>
      <c r="E6" s="1836">
        <f>1.2+0.2+0.4</f>
        <v>1.7999999999999998</v>
      </c>
      <c r="F6" s="1836">
        <v>2.35</v>
      </c>
      <c r="G6" s="1836">
        <f>D6*E6*F6</f>
        <v>10.575000000000001</v>
      </c>
      <c r="H6" s="1805" t="s">
        <v>20</v>
      </c>
      <c r="I6" s="1856">
        <f>'VC 600'!I7</f>
        <v>158.80000000000001</v>
      </c>
      <c r="J6" s="1805" t="s">
        <v>1012</v>
      </c>
      <c r="K6" s="1899">
        <f>ROUND(G6*I6,0)</f>
        <v>1679</v>
      </c>
    </row>
    <row r="7" spans="1:11" s="1857" customFormat="1" x14ac:dyDescent="0.25">
      <c r="A7" s="1855"/>
      <c r="B7" s="1805"/>
      <c r="C7" s="1805"/>
      <c r="D7" s="1836"/>
      <c r="E7" s="1836"/>
      <c r="F7" s="1836"/>
      <c r="G7" s="1836"/>
      <c r="H7" s="1805"/>
      <c r="I7" s="1856"/>
      <c r="J7" s="1805"/>
      <c r="K7" s="1899"/>
    </row>
    <row r="8" spans="1:11" s="1857" customFormat="1" ht="69" customHeight="1" x14ac:dyDescent="0.25">
      <c r="A8" s="1855">
        <v>2</v>
      </c>
      <c r="B8" s="1800" t="s">
        <v>2057</v>
      </c>
      <c r="C8" s="1805" t="s">
        <v>483</v>
      </c>
      <c r="D8" s="1836">
        <f>D6</f>
        <v>2.5000000000000004</v>
      </c>
      <c r="E8" s="1836">
        <f>E6</f>
        <v>1.7999999999999998</v>
      </c>
      <c r="F8" s="1836">
        <v>0.15</v>
      </c>
      <c r="G8" s="1836">
        <f>D8*E8*F8</f>
        <v>0.67499999999999993</v>
      </c>
      <c r="H8" s="1805" t="s">
        <v>20</v>
      </c>
      <c r="I8" s="1856">
        <f>'VC 600'!I9</f>
        <v>4503.5</v>
      </c>
      <c r="J8" s="1805" t="s">
        <v>1316</v>
      </c>
      <c r="K8" s="1899">
        <f>ROUND(G8*I8,0)</f>
        <v>3040</v>
      </c>
    </row>
    <row r="9" spans="1:11" s="1857" customFormat="1" x14ac:dyDescent="0.25">
      <c r="A9" s="1855"/>
      <c r="B9" s="1805"/>
      <c r="C9" s="1805"/>
      <c r="D9" s="1836"/>
      <c r="E9" s="1836"/>
      <c r="F9" s="1836"/>
      <c r="G9" s="1836"/>
      <c r="H9" s="1805"/>
      <c r="I9" s="1856"/>
      <c r="J9" s="1805"/>
      <c r="K9" s="1899"/>
    </row>
    <row r="10" spans="1:11" s="1857" customFormat="1" ht="66.75" customHeight="1" x14ac:dyDescent="0.25">
      <c r="A10" s="1855">
        <v>3</v>
      </c>
      <c r="B10" s="1800" t="s">
        <v>2058</v>
      </c>
      <c r="C10" s="1805" t="s">
        <v>483</v>
      </c>
      <c r="D10" s="1836">
        <f>1.7+0.4+0.2</f>
        <v>2.3000000000000003</v>
      </c>
      <c r="E10" s="1836">
        <f>1.2+0.4+0.2</f>
        <v>1.8</v>
      </c>
      <c r="F10" s="1836">
        <v>0.15</v>
      </c>
      <c r="G10" s="1836">
        <f>D10*E10*F10</f>
        <v>0.62100000000000011</v>
      </c>
      <c r="H10" s="1805" t="s">
        <v>20</v>
      </c>
      <c r="I10" s="1856">
        <f>'VC 600'!I12</f>
        <v>7284.3</v>
      </c>
      <c r="J10" s="1805" t="s">
        <v>1316</v>
      </c>
      <c r="K10" s="1899">
        <f>ROUND(G10*I10,0)</f>
        <v>4524</v>
      </c>
    </row>
    <row r="11" spans="1:11" s="1857" customFormat="1" x14ac:dyDescent="0.25">
      <c r="A11" s="1855"/>
      <c r="B11" s="1805"/>
      <c r="C11" s="1805"/>
      <c r="D11" s="1836"/>
      <c r="E11" s="1836"/>
      <c r="F11" s="1836"/>
      <c r="G11" s="1836"/>
      <c r="H11" s="1805"/>
      <c r="I11" s="1856"/>
      <c r="J11" s="1805"/>
      <c r="K11" s="1899"/>
    </row>
    <row r="12" spans="1:11" s="1857" customFormat="1" ht="60" x14ac:dyDescent="0.25">
      <c r="A12" s="1855">
        <v>4</v>
      </c>
      <c r="B12" s="1800" t="s">
        <v>2059</v>
      </c>
      <c r="C12" s="1805"/>
      <c r="D12" s="1836"/>
      <c r="E12" s="1836"/>
      <c r="F12" s="1836"/>
      <c r="G12" s="1836"/>
      <c r="H12" s="1805"/>
      <c r="I12" s="1856"/>
      <c r="J12" s="1805"/>
      <c r="K12" s="1899"/>
    </row>
    <row r="13" spans="1:11" s="1857" customFormat="1" x14ac:dyDescent="0.25">
      <c r="A13" s="1855"/>
      <c r="B13" s="1805"/>
      <c r="C13" s="1805" t="s">
        <v>494</v>
      </c>
      <c r="D13" s="1836">
        <f>1.7+0.4</f>
        <v>2.1</v>
      </c>
      <c r="E13" s="1836">
        <v>2</v>
      </c>
      <c r="F13" s="1836">
        <v>0.2</v>
      </c>
      <c r="G13" s="1836">
        <f>D13*E13*F13*2</f>
        <v>1.6800000000000002</v>
      </c>
      <c r="H13" s="1805"/>
      <c r="I13" s="1856"/>
      <c r="J13" s="1805"/>
      <c r="K13" s="1899"/>
    </row>
    <row r="14" spans="1:11" s="1857" customFormat="1" x14ac:dyDescent="0.25">
      <c r="A14" s="1855"/>
      <c r="B14" s="1805"/>
      <c r="C14" s="1805" t="s">
        <v>494</v>
      </c>
      <c r="D14" s="1836">
        <v>1.2</v>
      </c>
      <c r="E14" s="1836">
        <v>2</v>
      </c>
      <c r="F14" s="1836">
        <v>0.2</v>
      </c>
      <c r="G14" s="1836">
        <f>D14*E14*F14*2</f>
        <v>0.96</v>
      </c>
      <c r="H14" s="1805"/>
      <c r="I14" s="1856"/>
      <c r="J14" s="1805"/>
      <c r="K14" s="1899"/>
    </row>
    <row r="15" spans="1:11" s="1857" customFormat="1" x14ac:dyDescent="0.25">
      <c r="A15" s="1855"/>
      <c r="B15" s="1805"/>
      <c r="C15" s="1805"/>
      <c r="D15" s="1836"/>
      <c r="E15" s="1836"/>
      <c r="F15" s="1836"/>
      <c r="G15" s="1836">
        <f>SUM(G13:G14)</f>
        <v>2.64</v>
      </c>
      <c r="H15" s="1805" t="s">
        <v>20</v>
      </c>
      <c r="I15" s="1856">
        <f>Data!I716</f>
        <v>13361.8</v>
      </c>
      <c r="J15" s="1805" t="s">
        <v>1316</v>
      </c>
      <c r="K15" s="1899">
        <f>ROUND(G15*I15,0)</f>
        <v>35275</v>
      </c>
    </row>
    <row r="16" spans="1:11" s="1857" customFormat="1" x14ac:dyDescent="0.25">
      <c r="A16" s="1855"/>
      <c r="B16" s="1805"/>
      <c r="C16" s="1805"/>
      <c r="D16" s="1836"/>
      <c r="E16" s="1836"/>
      <c r="F16" s="1836"/>
      <c r="G16" s="1836"/>
      <c r="H16" s="1805"/>
      <c r="I16" s="1856"/>
      <c r="J16" s="1805"/>
      <c r="K16" s="1899"/>
    </row>
    <row r="17" spans="1:13" s="1857" customFormat="1" ht="66" customHeight="1" x14ac:dyDescent="0.25">
      <c r="A17" s="1855">
        <v>5</v>
      </c>
      <c r="B17" s="1800" t="s">
        <v>2060</v>
      </c>
      <c r="C17" s="1805" t="s">
        <v>483</v>
      </c>
      <c r="D17" s="1836">
        <f>D10-0.2</f>
        <v>2.1</v>
      </c>
      <c r="E17" s="1836">
        <f>E10-0.2</f>
        <v>1.6</v>
      </c>
      <c r="F17" s="1836">
        <v>0.1</v>
      </c>
      <c r="G17" s="1836">
        <f>D17*E17*F17*1</f>
        <v>0.33600000000000008</v>
      </c>
      <c r="H17" s="1805" t="s">
        <v>20</v>
      </c>
      <c r="I17" s="1856">
        <f>I10</f>
        <v>7284.3</v>
      </c>
      <c r="J17" s="1805" t="s">
        <v>1316</v>
      </c>
      <c r="K17" s="1900">
        <f>ROUND(G17*I17,0)</f>
        <v>2448</v>
      </c>
    </row>
    <row r="18" spans="1:13" s="1857" customFormat="1" x14ac:dyDescent="0.25">
      <c r="A18" s="1855"/>
      <c r="B18" s="1805"/>
      <c r="C18" s="1805"/>
      <c r="D18" s="1836"/>
      <c r="E18" s="1836"/>
      <c r="F18" s="1836"/>
      <c r="G18" s="1836"/>
      <c r="H18" s="1805"/>
      <c r="I18" s="1856"/>
      <c r="J18" s="1805"/>
      <c r="K18" s="1894"/>
    </row>
    <row r="19" spans="1:13" s="1857" customFormat="1" x14ac:dyDescent="0.25">
      <c r="A19" s="1855"/>
      <c r="B19" s="1805"/>
      <c r="C19" s="1805"/>
      <c r="D19" s="1836"/>
      <c r="E19" s="1836"/>
      <c r="F19" s="1836"/>
      <c r="G19" s="1836"/>
      <c r="H19" s="1805"/>
      <c r="I19" s="1856"/>
      <c r="J19" s="1805"/>
      <c r="K19" s="1899"/>
    </row>
    <row r="20" spans="1:13" s="1857" customFormat="1" ht="27.75" customHeight="1" x14ac:dyDescent="0.25">
      <c r="A20" s="1855">
        <v>6</v>
      </c>
      <c r="B20" s="1858" t="s">
        <v>2061</v>
      </c>
      <c r="C20" s="1810"/>
      <c r="D20" s="1836"/>
      <c r="E20" s="1836"/>
      <c r="F20" s="1836"/>
      <c r="G20" s="1836">
        <v>190</v>
      </c>
      <c r="H20" s="1805" t="s">
        <v>1069</v>
      </c>
      <c r="I20" s="1856">
        <f>'VC 600'!I17</f>
        <v>60670.400000000001</v>
      </c>
      <c r="J20" s="1805" t="s">
        <v>486</v>
      </c>
      <c r="K20" s="1891">
        <f>ROUND((G20*I20/1000),0)</f>
        <v>11527</v>
      </c>
    </row>
    <row r="21" spans="1:13" s="1857" customFormat="1" x14ac:dyDescent="0.25">
      <c r="A21" s="1855"/>
      <c r="B21" s="1805"/>
      <c r="C21" s="1805"/>
      <c r="D21" s="1836"/>
      <c r="E21" s="1836"/>
      <c r="F21" s="1836"/>
      <c r="G21" s="1836"/>
      <c r="H21" s="1805"/>
      <c r="I21" s="1856"/>
      <c r="J21" s="1805"/>
      <c r="K21" s="1899"/>
    </row>
    <row r="22" spans="1:13" s="1857" customFormat="1" ht="24.75" customHeight="1" x14ac:dyDescent="0.25">
      <c r="A22" s="1855">
        <v>8</v>
      </c>
      <c r="B22" s="1858" t="s">
        <v>2062</v>
      </c>
      <c r="C22" s="1805"/>
      <c r="D22" s="1836"/>
      <c r="E22" s="1836"/>
      <c r="F22" s="1836"/>
      <c r="G22" s="1836"/>
      <c r="H22" s="1805"/>
      <c r="I22" s="1856"/>
      <c r="J22" s="1805"/>
      <c r="K22" s="1899">
        <f>ROUND(SUM(K6:K20)*0.5,0)</f>
        <v>29247</v>
      </c>
    </row>
    <row r="23" spans="1:13" s="1835" customFormat="1" x14ac:dyDescent="0.3">
      <c r="A23" s="1811"/>
      <c r="B23" s="1859"/>
      <c r="C23" s="1812"/>
      <c r="D23" s="1814"/>
      <c r="E23" s="1814"/>
      <c r="F23" s="1814"/>
      <c r="G23" s="1814"/>
      <c r="H23" s="1812"/>
      <c r="I23" s="1815"/>
      <c r="J23" s="1812"/>
      <c r="K23" s="1897"/>
    </row>
    <row r="24" spans="1:13" s="1835" customFormat="1" x14ac:dyDescent="0.3">
      <c r="A24" s="1816"/>
      <c r="B24" s="1817" t="s">
        <v>1039</v>
      </c>
      <c r="C24" s="1819"/>
      <c r="D24" s="1827"/>
      <c r="E24" s="1827"/>
      <c r="F24" s="1827"/>
      <c r="G24" s="1827"/>
      <c r="H24" s="1819"/>
      <c r="I24" s="1820"/>
      <c r="J24" s="1819"/>
      <c r="K24" s="1901">
        <f>SUM(K6:K22)</f>
        <v>87740</v>
      </c>
      <c r="M24" s="1906">
        <f>K24-K22</f>
        <v>58493</v>
      </c>
    </row>
    <row r="29" spans="1:13" s="1843" customFormat="1" ht="16.5" x14ac:dyDescent="0.3">
      <c r="E29" s="1844"/>
      <c r="K29" s="1845"/>
    </row>
    <row r="30" spans="1:13" s="1843" customFormat="1" ht="16.5" x14ac:dyDescent="0.3">
      <c r="E30" s="1844"/>
      <c r="K30" s="1845"/>
    </row>
  </sheetData>
  <mergeCells count="3">
    <mergeCell ref="A1:K1"/>
    <mergeCell ref="A2:K2"/>
    <mergeCell ref="A3:K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workbookViewId="0">
      <selection activeCell="Q9" sqref="Q9"/>
    </sheetView>
  </sheetViews>
  <sheetFormatPr defaultColWidth="9.140625" defaultRowHeight="13.5" x14ac:dyDescent="0.25"/>
  <cols>
    <col min="1" max="1" width="6.42578125" style="1862" customWidth="1"/>
    <col min="2" max="2" width="40" style="1862" customWidth="1"/>
    <col min="3" max="3" width="5.85546875" style="1872" customWidth="1"/>
    <col min="4" max="4" width="5" style="1872" customWidth="1"/>
    <col min="5" max="5" width="5.7109375" style="1872" customWidth="1"/>
    <col min="6" max="9" width="6.85546875" style="1889" customWidth="1"/>
    <col min="10" max="10" width="6.85546875" style="1862" customWidth="1"/>
    <col min="11" max="11" width="10.42578125" style="1862" bestFit="1" customWidth="1"/>
    <col min="12" max="12" width="6.85546875" style="1862" customWidth="1"/>
    <col min="13" max="13" width="9.28515625" style="1862" bestFit="1" customWidth="1"/>
    <col min="14" max="14" width="9.140625" style="1862"/>
    <col min="15" max="15" width="10.7109375" style="1862" customWidth="1"/>
    <col min="16" max="16384" width="9.140625" style="1862"/>
  </cols>
  <sheetData>
    <row r="1" spans="1:13" ht="16.5" x14ac:dyDescent="0.25">
      <c r="A1" s="2174" t="s">
        <v>2025</v>
      </c>
      <c r="B1" s="2175"/>
      <c r="C1" s="2175"/>
      <c r="D1" s="2175"/>
      <c r="E1" s="2175"/>
      <c r="F1" s="2175"/>
      <c r="G1" s="2175"/>
      <c r="H1" s="2175"/>
      <c r="I1" s="2175"/>
      <c r="J1" s="2175"/>
      <c r="K1" s="2175"/>
      <c r="L1" s="2175"/>
      <c r="M1" s="2175"/>
    </row>
    <row r="2" spans="1:13" ht="16.5" x14ac:dyDescent="0.25">
      <c r="A2" s="2174" t="s">
        <v>2063</v>
      </c>
      <c r="B2" s="2175"/>
      <c r="C2" s="2175"/>
      <c r="D2" s="2175"/>
      <c r="E2" s="2175"/>
      <c r="F2" s="2175"/>
      <c r="G2" s="2175"/>
      <c r="H2" s="2175"/>
      <c r="I2" s="2175"/>
      <c r="J2" s="2175"/>
      <c r="K2" s="2175"/>
      <c r="L2" s="2175"/>
      <c r="M2" s="2175"/>
    </row>
    <row r="3" spans="1:13" ht="16.5" x14ac:dyDescent="0.25">
      <c r="A3" s="2174" t="s">
        <v>2064</v>
      </c>
      <c r="B3" s="2175"/>
      <c r="C3" s="2175"/>
      <c r="D3" s="2175"/>
      <c r="E3" s="2175"/>
      <c r="F3" s="2175"/>
      <c r="G3" s="2175"/>
      <c r="H3" s="2175"/>
      <c r="I3" s="2175"/>
      <c r="J3" s="2175"/>
      <c r="K3" s="2175"/>
      <c r="L3" s="2175"/>
      <c r="M3" s="2175"/>
    </row>
    <row r="4" spans="1:13" x14ac:dyDescent="0.25">
      <c r="A4" s="1863"/>
      <c r="B4" s="1864"/>
      <c r="C4" s="1864"/>
      <c r="D4" s="1864"/>
      <c r="E4" s="1864"/>
      <c r="F4" s="1864"/>
      <c r="G4" s="1864"/>
      <c r="H4" s="1864"/>
      <c r="I4" s="1864"/>
      <c r="J4" s="1864"/>
      <c r="K4" s="1864"/>
      <c r="L4" s="1864"/>
      <c r="M4" s="1864"/>
    </row>
    <row r="5" spans="1:13" s="1864" customFormat="1" ht="25.5" x14ac:dyDescent="0.25">
      <c r="A5" s="1865" t="s">
        <v>83</v>
      </c>
      <c r="B5" s="1865" t="s">
        <v>2054</v>
      </c>
      <c r="C5" s="2176" t="s">
        <v>1262</v>
      </c>
      <c r="D5" s="2176"/>
      <c r="E5" s="2176"/>
      <c r="F5" s="1866" t="s">
        <v>1709</v>
      </c>
      <c r="G5" s="1866" t="s">
        <v>1760</v>
      </c>
      <c r="H5" s="1866" t="s">
        <v>1761</v>
      </c>
      <c r="I5" s="1866" t="s">
        <v>512</v>
      </c>
      <c r="J5" s="1865" t="s">
        <v>1378</v>
      </c>
      <c r="K5" s="1865" t="s">
        <v>140</v>
      </c>
      <c r="L5" s="1865" t="s">
        <v>401</v>
      </c>
      <c r="M5" s="1867" t="s">
        <v>2055</v>
      </c>
    </row>
    <row r="6" spans="1:13" s="1872" customFormat="1" x14ac:dyDescent="0.25">
      <c r="A6" s="1868"/>
      <c r="B6" s="1869"/>
      <c r="C6" s="1869"/>
      <c r="D6" s="1869"/>
      <c r="E6" s="1869"/>
      <c r="F6" s="1870"/>
      <c r="G6" s="1870"/>
      <c r="H6" s="1870"/>
      <c r="I6" s="1870"/>
      <c r="J6" s="1869"/>
      <c r="K6" s="1869"/>
      <c r="L6" s="1869"/>
      <c r="M6" s="1871"/>
    </row>
    <row r="7" spans="1:13" s="1857" customFormat="1" ht="57.75" customHeight="1" x14ac:dyDescent="0.25">
      <c r="A7" s="1855">
        <v>1</v>
      </c>
      <c r="B7" s="1800" t="s">
        <v>2056</v>
      </c>
      <c r="C7" s="1873">
        <v>1</v>
      </c>
      <c r="D7" s="1873" t="s">
        <v>2065</v>
      </c>
      <c r="E7" s="1873">
        <v>1</v>
      </c>
      <c r="F7" s="1836">
        <f>3+0.2+0.2+0.4</f>
        <v>3.8000000000000003</v>
      </c>
      <c r="G7" s="1836">
        <f>2+0.4+0.4</f>
        <v>2.8</v>
      </c>
      <c r="H7" s="1836">
        <f>2.5+0.15+0.1</f>
        <v>2.75</v>
      </c>
      <c r="I7" s="1836">
        <f>PRODUCT(C7:H7)</f>
        <v>29.26</v>
      </c>
      <c r="J7" s="1805" t="s">
        <v>20</v>
      </c>
      <c r="K7" s="1856">
        <f>'VC 700'!I6</f>
        <v>158.80000000000001</v>
      </c>
      <c r="L7" s="1856" t="s">
        <v>1012</v>
      </c>
      <c r="M7" s="1899">
        <f>ROUND(I7*K7,0)</f>
        <v>4646</v>
      </c>
    </row>
    <row r="8" spans="1:13" s="1857" customFormat="1" ht="15" x14ac:dyDescent="0.25">
      <c r="A8" s="1855"/>
      <c r="B8" s="1805"/>
      <c r="C8" s="1873"/>
      <c r="D8" s="1873"/>
      <c r="E8" s="1873"/>
      <c r="F8" s="1836"/>
      <c r="G8" s="1836"/>
      <c r="H8" s="1836"/>
      <c r="I8" s="1836"/>
      <c r="J8" s="1805"/>
      <c r="K8" s="1856"/>
      <c r="L8" s="1856"/>
      <c r="M8" s="1899"/>
    </row>
    <row r="9" spans="1:13" s="1857" customFormat="1" ht="66" customHeight="1" x14ac:dyDescent="0.25">
      <c r="A9" s="1855">
        <v>2</v>
      </c>
      <c r="B9" s="1800" t="s">
        <v>2057</v>
      </c>
      <c r="C9" s="1873">
        <v>1</v>
      </c>
      <c r="D9" s="1873" t="s">
        <v>2065</v>
      </c>
      <c r="E9" s="1873">
        <v>1</v>
      </c>
      <c r="F9" s="1836">
        <f>F7</f>
        <v>3.8000000000000003</v>
      </c>
      <c r="G9" s="1836">
        <f>G7</f>
        <v>2.8</v>
      </c>
      <c r="H9" s="1836">
        <v>0.15</v>
      </c>
      <c r="I9" s="1836">
        <f>PRODUCT(C9:H9)</f>
        <v>1.5960000000000001</v>
      </c>
      <c r="J9" s="1805" t="s">
        <v>20</v>
      </c>
      <c r="K9" s="1856">
        <f>'VC 700'!I8</f>
        <v>4503.5</v>
      </c>
      <c r="L9" s="1856" t="s">
        <v>20</v>
      </c>
      <c r="M9" s="1899">
        <f>ROUND(I9*K9,0)</f>
        <v>7188</v>
      </c>
    </row>
    <row r="10" spans="1:13" s="1857" customFormat="1" ht="15" x14ac:dyDescent="0.25">
      <c r="A10" s="1855"/>
      <c r="B10" s="1805"/>
      <c r="C10" s="1873"/>
      <c r="D10" s="1873"/>
      <c r="E10" s="1873"/>
      <c r="F10" s="1836"/>
      <c r="G10" s="1836"/>
      <c r="H10" s="1836"/>
      <c r="I10" s="1836"/>
      <c r="J10" s="1805"/>
      <c r="K10" s="1856"/>
      <c r="L10" s="1856"/>
      <c r="M10" s="1899"/>
    </row>
    <row r="11" spans="1:13" s="1857" customFormat="1" ht="48" customHeight="1" x14ac:dyDescent="0.25">
      <c r="A11" s="1855">
        <v>3</v>
      </c>
      <c r="B11" s="1800" t="s">
        <v>2066</v>
      </c>
      <c r="C11" s="1805"/>
      <c r="D11" s="1805"/>
      <c r="E11" s="1805"/>
      <c r="F11" s="1805"/>
      <c r="G11" s="1805"/>
      <c r="H11" s="1805"/>
      <c r="I11" s="1805"/>
      <c r="J11" s="1805"/>
      <c r="K11" s="1805"/>
      <c r="L11" s="1805"/>
      <c r="M11" s="1899"/>
    </row>
    <row r="12" spans="1:13" s="1857" customFormat="1" ht="30" customHeight="1" x14ac:dyDescent="0.25">
      <c r="A12" s="1874" t="s">
        <v>104</v>
      </c>
      <c r="B12" s="1875" t="s">
        <v>2067</v>
      </c>
      <c r="C12" s="1873">
        <v>1</v>
      </c>
      <c r="D12" s="1873" t="s">
        <v>2065</v>
      </c>
      <c r="E12" s="1873">
        <v>1</v>
      </c>
      <c r="F12" s="1836">
        <f>3+0.4+0.2</f>
        <v>3.6</v>
      </c>
      <c r="G12" s="1836">
        <f>2+0.4+0.2</f>
        <v>2.6</v>
      </c>
      <c r="H12" s="1836">
        <v>0.15</v>
      </c>
      <c r="I12" s="1836">
        <f>PRODUCT(C12:H12)</f>
        <v>1.4040000000000001</v>
      </c>
      <c r="J12" s="1805" t="s">
        <v>20</v>
      </c>
      <c r="K12" s="1856">
        <f>'VC 700'!I10</f>
        <v>7284.3</v>
      </c>
      <c r="L12" s="1856" t="s">
        <v>20</v>
      </c>
      <c r="M12" s="1899">
        <f>ROUND(I12*K12,0)</f>
        <v>10227</v>
      </c>
    </row>
    <row r="13" spans="1:13" s="1857" customFormat="1" ht="15.75" customHeight="1" x14ac:dyDescent="0.25">
      <c r="A13" s="1855"/>
      <c r="B13" s="1876"/>
      <c r="C13" s="1873"/>
      <c r="D13" s="1873"/>
      <c r="E13" s="1873"/>
      <c r="F13" s="1836"/>
      <c r="G13" s="1836"/>
      <c r="H13" s="1836"/>
      <c r="I13" s="1836"/>
      <c r="J13" s="1805"/>
      <c r="K13" s="1856"/>
      <c r="L13" s="1856"/>
      <c r="M13" s="1899"/>
    </row>
    <row r="14" spans="1:13" s="1857" customFormat="1" ht="30" customHeight="1" x14ac:dyDescent="0.25">
      <c r="A14" s="1874" t="s">
        <v>2068</v>
      </c>
      <c r="B14" s="1875" t="s">
        <v>2069</v>
      </c>
      <c r="C14" s="1873">
        <v>1</v>
      </c>
      <c r="D14" s="1873" t="s">
        <v>2065</v>
      </c>
      <c r="E14" s="1873">
        <v>2</v>
      </c>
      <c r="F14" s="1836">
        <f>3+0.4</f>
        <v>3.4</v>
      </c>
      <c r="G14" s="1836">
        <v>0.2</v>
      </c>
      <c r="H14" s="1836">
        <v>2.5</v>
      </c>
      <c r="I14" s="1836">
        <f>PRODUCT(C14:H14)</f>
        <v>3.4000000000000004</v>
      </c>
      <c r="J14" s="1805"/>
      <c r="K14" s="1856"/>
      <c r="L14" s="1856"/>
      <c r="M14" s="1899"/>
    </row>
    <row r="15" spans="1:13" s="1857" customFormat="1" ht="19.5" customHeight="1" x14ac:dyDescent="0.25">
      <c r="A15" s="1855"/>
      <c r="B15" s="1875"/>
      <c r="C15" s="1873">
        <v>1</v>
      </c>
      <c r="D15" s="1873" t="s">
        <v>2065</v>
      </c>
      <c r="E15" s="1873">
        <v>2</v>
      </c>
      <c r="F15" s="1836">
        <v>2</v>
      </c>
      <c r="G15" s="1836">
        <v>0.2</v>
      </c>
      <c r="H15" s="1836">
        <v>2.5</v>
      </c>
      <c r="I15" s="1836">
        <f>PRODUCT(C15:H15)</f>
        <v>2</v>
      </c>
      <c r="J15" s="1805"/>
      <c r="K15" s="1856"/>
      <c r="L15" s="1856"/>
      <c r="M15" s="1899"/>
    </row>
    <row r="16" spans="1:13" s="1857" customFormat="1" ht="21" customHeight="1" x14ac:dyDescent="0.25">
      <c r="A16" s="1855"/>
      <c r="B16" s="1875"/>
      <c r="C16" s="1873"/>
      <c r="D16" s="1873"/>
      <c r="E16" s="1873"/>
      <c r="F16" s="1836"/>
      <c r="G16" s="1836"/>
      <c r="H16" s="1836"/>
      <c r="I16" s="1836">
        <f>SUM(I14:I15)</f>
        <v>5.4</v>
      </c>
      <c r="J16" s="1805" t="s">
        <v>20</v>
      </c>
      <c r="K16" s="1856">
        <f>'VC 700'!I15</f>
        <v>13361.8</v>
      </c>
      <c r="L16" s="1856" t="s">
        <v>20</v>
      </c>
      <c r="M16" s="1899">
        <f>ROUND(I16*K16,0)</f>
        <v>72154</v>
      </c>
    </row>
    <row r="17" spans="1:15" s="1857" customFormat="1" ht="11.25" customHeight="1" x14ac:dyDescent="0.25">
      <c r="A17" s="1855"/>
      <c r="B17" s="1875"/>
      <c r="C17" s="1873"/>
      <c r="D17" s="1873"/>
      <c r="E17" s="1873"/>
      <c r="F17" s="1836"/>
      <c r="G17" s="1836"/>
      <c r="H17" s="1836"/>
      <c r="I17" s="1836"/>
      <c r="J17" s="1805"/>
      <c r="K17" s="1856"/>
      <c r="L17" s="1856"/>
      <c r="M17" s="1899"/>
    </row>
    <row r="18" spans="1:15" s="1857" customFormat="1" ht="21" customHeight="1" x14ac:dyDescent="0.25">
      <c r="A18" s="1874" t="s">
        <v>2070</v>
      </c>
      <c r="B18" s="1876" t="s">
        <v>2071</v>
      </c>
      <c r="C18" s="1873">
        <v>1</v>
      </c>
      <c r="D18" s="1873" t="s">
        <v>2065</v>
      </c>
      <c r="E18" s="1873">
        <v>1</v>
      </c>
      <c r="F18" s="1836">
        <f>3.4</f>
        <v>3.4</v>
      </c>
      <c r="G18" s="1836">
        <f>2.4</f>
        <v>2.4</v>
      </c>
      <c r="H18" s="1836">
        <v>0.15</v>
      </c>
      <c r="I18" s="1836">
        <f>PRODUCT(C18:H18)</f>
        <v>1.224</v>
      </c>
      <c r="J18" s="1805" t="s">
        <v>20</v>
      </c>
      <c r="K18" s="1856">
        <f>'VC 700'!I17</f>
        <v>7284.3</v>
      </c>
      <c r="L18" s="1856" t="s">
        <v>1012</v>
      </c>
      <c r="M18" s="1900">
        <f>ROUND(I18*K18,0)</f>
        <v>8916</v>
      </c>
    </row>
    <row r="19" spans="1:15" s="1857" customFormat="1" ht="15" x14ac:dyDescent="0.25">
      <c r="A19" s="1855"/>
      <c r="B19" s="1876"/>
      <c r="C19" s="1873"/>
      <c r="D19" s="1873"/>
      <c r="E19" s="1873"/>
      <c r="F19" s="1836"/>
      <c r="G19" s="1836"/>
      <c r="H19" s="1836"/>
      <c r="I19" s="1836"/>
      <c r="J19" s="1805"/>
      <c r="K19" s="1856"/>
      <c r="L19" s="1856"/>
      <c r="M19" s="1902"/>
    </row>
    <row r="20" spans="1:15" s="1857" customFormat="1" ht="15" x14ac:dyDescent="0.25">
      <c r="A20" s="1855"/>
      <c r="B20" s="1805"/>
      <c r="C20" s="1873"/>
      <c r="D20" s="1873"/>
      <c r="E20" s="1873"/>
      <c r="F20" s="1836"/>
      <c r="G20" s="1836"/>
      <c r="H20" s="1836"/>
      <c r="I20" s="1836"/>
      <c r="J20" s="1805"/>
      <c r="K20" s="1856"/>
      <c r="L20" s="1856"/>
      <c r="M20" s="1899"/>
    </row>
    <row r="21" spans="1:15" s="1857" customFormat="1" ht="21" customHeight="1" x14ac:dyDescent="0.25">
      <c r="A21" s="1855">
        <v>4</v>
      </c>
      <c r="B21" s="1805" t="s">
        <v>2072</v>
      </c>
      <c r="C21" s="1810"/>
      <c r="D21" s="1873"/>
      <c r="E21" s="1873"/>
      <c r="F21" s="1836"/>
      <c r="G21" s="1836"/>
      <c r="H21" s="1836"/>
      <c r="I21" s="1836">
        <v>387</v>
      </c>
      <c r="J21" s="1805" t="s">
        <v>1069</v>
      </c>
      <c r="K21" s="1856">
        <f>'VC 700'!I20</f>
        <v>60670.400000000001</v>
      </c>
      <c r="L21" s="1856" t="s">
        <v>486</v>
      </c>
      <c r="M21" s="1891">
        <f>ROUND((I21*K21/1000),0)</f>
        <v>23479</v>
      </c>
    </row>
    <row r="22" spans="1:15" s="1857" customFormat="1" ht="15" x14ac:dyDescent="0.25">
      <c r="A22" s="1855"/>
      <c r="B22" s="1805"/>
      <c r="C22" s="1873"/>
      <c r="D22" s="1873"/>
      <c r="E22" s="1873"/>
      <c r="F22" s="1836"/>
      <c r="G22" s="1836"/>
      <c r="H22" s="1836"/>
      <c r="I22" s="1836"/>
      <c r="J22" s="1805"/>
      <c r="K22" s="1856"/>
      <c r="L22" s="1856"/>
      <c r="M22" s="1899"/>
    </row>
    <row r="23" spans="1:15" s="1857" customFormat="1" ht="15" x14ac:dyDescent="0.25">
      <c r="A23" s="1855">
        <v>5</v>
      </c>
      <c r="B23" s="1858" t="s">
        <v>2073</v>
      </c>
      <c r="C23" s="1873"/>
      <c r="D23" s="1873"/>
      <c r="E23" s="1873"/>
      <c r="F23" s="1836"/>
      <c r="G23" s="1836"/>
      <c r="H23" s="1836"/>
      <c r="I23" s="1836"/>
      <c r="J23" s="1805"/>
      <c r="K23" s="1856"/>
      <c r="L23" s="1856"/>
      <c r="M23" s="1899">
        <f>ROUND(SUM(M7:M21)*0.5,0)</f>
        <v>63305</v>
      </c>
    </row>
    <row r="24" spans="1:15" s="1798" customFormat="1" ht="15" x14ac:dyDescent="0.3">
      <c r="A24" s="1877"/>
      <c r="B24" s="1878"/>
      <c r="C24" s="1879"/>
      <c r="D24" s="1879"/>
      <c r="E24" s="1879"/>
      <c r="F24" s="1880"/>
      <c r="G24" s="1880"/>
      <c r="H24" s="1880"/>
      <c r="I24" s="1880"/>
      <c r="J24" s="1878"/>
      <c r="K24" s="1881"/>
      <c r="L24" s="1881"/>
      <c r="M24" s="1903"/>
      <c r="N24" s="1882"/>
    </row>
    <row r="25" spans="1:15" x14ac:dyDescent="0.25">
      <c r="A25" s="1883"/>
      <c r="B25" s="1884" t="s">
        <v>1039</v>
      </c>
      <c r="C25" s="1885"/>
      <c r="D25" s="1885"/>
      <c r="E25" s="1885"/>
      <c r="F25" s="1886"/>
      <c r="G25" s="1886"/>
      <c r="H25" s="1886"/>
      <c r="I25" s="1886"/>
      <c r="J25" s="1887"/>
      <c r="K25" s="1888"/>
      <c r="L25" s="1888"/>
      <c r="M25" s="1904">
        <f>SUM(M7:M23)</f>
        <v>189915</v>
      </c>
      <c r="O25" s="1905">
        <f>M25-M23</f>
        <v>126610</v>
      </c>
    </row>
    <row r="27" spans="1:15" x14ac:dyDescent="0.25">
      <c r="M27" s="1889"/>
    </row>
    <row r="30" spans="1:15" s="1843" customFormat="1" ht="16.5" x14ac:dyDescent="0.3">
      <c r="E30" s="1844"/>
      <c r="K30" s="1845"/>
    </row>
    <row r="31" spans="1:15" s="1843" customFormat="1" ht="16.5" x14ac:dyDescent="0.3">
      <c r="E31" s="1844"/>
      <c r="K31" s="1845"/>
    </row>
  </sheetData>
  <mergeCells count="4">
    <mergeCell ref="A1:M1"/>
    <mergeCell ref="A2:M2"/>
    <mergeCell ref="A3:M3"/>
    <mergeCell ref="C5:E5"/>
  </mergeCells>
  <pageMargins left="0.7" right="0.7" top="0.75" bottom="0.75" header="0.3" footer="0.3"/>
  <pageSetup scale="69" orientation="portrait" verticalDpi="0" r:id="rId1"/>
  <colBreaks count="1" manualBreakCount="1">
    <brk id="13"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8" sqref="K28"/>
    </sheetView>
  </sheetViews>
  <sheetFormatPr defaultRowHeight="15" x14ac:dyDescent="0.2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7" sqref="K27"/>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topLeftCell="A4" workbookViewId="0">
      <selection activeCell="F14" sqref="F14"/>
    </sheetView>
  </sheetViews>
  <sheetFormatPr defaultColWidth="9.140625" defaultRowHeight="14.25" x14ac:dyDescent="0.2"/>
  <cols>
    <col min="1" max="1" width="9.140625" style="942"/>
    <col min="2" max="2" width="27.28515625" style="942" customWidth="1"/>
    <col min="3" max="3" width="12.7109375" style="942" customWidth="1"/>
    <col min="4" max="10" width="9.140625" style="942"/>
    <col min="11" max="11" width="12.42578125" style="942" customWidth="1"/>
    <col min="12" max="16384" width="9.140625" style="942"/>
  </cols>
  <sheetData>
    <row r="1" spans="1:19" x14ac:dyDescent="0.2">
      <c r="A1" s="2026" t="s">
        <v>2143</v>
      </c>
      <c r="B1" s="2027"/>
      <c r="C1" s="2027"/>
      <c r="D1" s="2027"/>
      <c r="E1" s="2027"/>
      <c r="F1" s="2027"/>
      <c r="G1" s="2027"/>
      <c r="H1" s="2027"/>
      <c r="I1" s="2027"/>
      <c r="J1" s="2027"/>
      <c r="K1" s="2027"/>
    </row>
    <row r="2" spans="1:19" x14ac:dyDescent="0.2">
      <c r="B2" s="2028"/>
      <c r="C2" s="2028"/>
      <c r="D2" s="2028"/>
      <c r="E2" s="2028"/>
      <c r="F2" s="2028"/>
      <c r="G2" s="2028"/>
      <c r="H2" s="2028"/>
      <c r="I2" s="2028"/>
      <c r="J2" s="2028"/>
      <c r="K2" s="942" t="str">
        <f>'CI specials'!D1</f>
        <v>2016-17</v>
      </c>
    </row>
    <row r="3" spans="1:19" x14ac:dyDescent="0.2">
      <c r="A3" s="2029" t="str">
        <f>Design!B1</f>
        <v>CPWS SCHEME TO                                                                                                       DISTRICT</v>
      </c>
      <c r="B3" s="2030"/>
      <c r="C3" s="2030"/>
      <c r="D3" s="2030"/>
      <c r="E3" s="2030"/>
      <c r="F3" s="2030"/>
      <c r="G3" s="2030"/>
      <c r="H3" s="2030"/>
      <c r="I3" s="2030"/>
      <c r="J3" s="2030"/>
      <c r="K3" s="2030"/>
    </row>
    <row r="4" spans="1:19" x14ac:dyDescent="0.2">
      <c r="C4" s="1466"/>
      <c r="D4" s="1467"/>
      <c r="I4" s="2031" t="s">
        <v>1711</v>
      </c>
      <c r="J4" s="2032"/>
      <c r="K4" s="1468">
        <f>Data!I4</f>
        <v>0.2</v>
      </c>
      <c r="P4" s="1955">
        <f>0.6*0.2*0.2</f>
        <v>2.4E-2</v>
      </c>
      <c r="Q4" s="1955">
        <v>50</v>
      </c>
      <c r="R4" s="1955">
        <f>Q4/P4</f>
        <v>2083.3333333333335</v>
      </c>
    </row>
    <row r="5" spans="1:19" ht="67.5" x14ac:dyDescent="0.2">
      <c r="A5" s="1469" t="s">
        <v>510</v>
      </c>
      <c r="B5" s="1470" t="s">
        <v>1712</v>
      </c>
      <c r="C5" s="1469" t="s">
        <v>1713</v>
      </c>
      <c r="D5" s="1469" t="s">
        <v>1714</v>
      </c>
      <c r="E5" s="1469" t="s">
        <v>1016</v>
      </c>
      <c r="F5" s="1952" t="s">
        <v>2149</v>
      </c>
      <c r="G5" s="1951" t="s">
        <v>1715</v>
      </c>
      <c r="H5" s="1469" t="s">
        <v>1716</v>
      </c>
      <c r="I5" s="1951" t="s">
        <v>1717</v>
      </c>
      <c r="J5" s="1953" t="s">
        <v>2139</v>
      </c>
      <c r="K5" s="1470" t="s">
        <v>23</v>
      </c>
    </row>
    <row r="6" spans="1:19" x14ac:dyDescent="0.2">
      <c r="A6" s="1471">
        <v>1</v>
      </c>
      <c r="B6" s="1472" t="s">
        <v>1718</v>
      </c>
      <c r="C6" s="1473"/>
      <c r="D6" s="1474">
        <v>50</v>
      </c>
      <c r="E6" s="1475">
        <v>845</v>
      </c>
      <c r="F6" s="1476">
        <f>ROUND(LOOKUP(D6,SSR!B86:B319,SSR!D86:D319)/1.13615,2)</f>
        <v>692.25</v>
      </c>
      <c r="G6" s="1477"/>
      <c r="H6" s="1477"/>
      <c r="I6" s="1478"/>
      <c r="J6" s="1476">
        <f>50/1.13615</f>
        <v>44.008273555428424</v>
      </c>
      <c r="K6" s="1476">
        <f t="shared" ref="K6:K13" si="0">+E6+F6+J6</f>
        <v>1581.2582735554283</v>
      </c>
      <c r="P6" s="942">
        <f>0.3*0.3*0.45</f>
        <v>4.0500000000000001E-2</v>
      </c>
      <c r="Q6" s="942">
        <v>20</v>
      </c>
      <c r="R6" s="943">
        <f>Q6/P6</f>
        <v>493.82716049382714</v>
      </c>
      <c r="S6" s="943"/>
    </row>
    <row r="7" spans="1:19" x14ac:dyDescent="0.2">
      <c r="A7" s="1471">
        <v>2</v>
      </c>
      <c r="B7" s="1472" t="s">
        <v>1719</v>
      </c>
      <c r="C7" s="1473"/>
      <c r="D7" s="1474">
        <f>D6</f>
        <v>50</v>
      </c>
      <c r="E7" s="1475">
        <v>1210</v>
      </c>
      <c r="F7" s="1476">
        <f>ROUND(LOOKUP(D7,SSR!B86:B320,SSR!D86:D320)/1.13615,2)</f>
        <v>692.25</v>
      </c>
      <c r="G7" s="1476"/>
      <c r="H7" s="1476"/>
      <c r="I7" s="1479"/>
      <c r="J7" s="1476">
        <f>50/1.13615</f>
        <v>44.008273555428424</v>
      </c>
      <c r="K7" s="1476">
        <f t="shared" si="0"/>
        <v>1946.2582735554283</v>
      </c>
      <c r="P7" s="942">
        <f>0.3*0.3*0.6</f>
        <v>5.3999999999999999E-2</v>
      </c>
      <c r="Q7" s="942">
        <v>23</v>
      </c>
      <c r="R7" s="943">
        <f>Q7/P7</f>
        <v>425.92592592592592</v>
      </c>
      <c r="S7" s="943">
        <f>R6+R7</f>
        <v>919.75308641975312</v>
      </c>
    </row>
    <row r="8" spans="1:19" x14ac:dyDescent="0.2">
      <c r="A8" s="1471">
        <v>3</v>
      </c>
      <c r="B8" s="1472" t="s">
        <v>1046</v>
      </c>
      <c r="C8" s="1473"/>
      <c r="D8" s="1474">
        <v>30</v>
      </c>
      <c r="E8" s="1475">
        <v>288</v>
      </c>
      <c r="F8" s="1476">
        <f>ROUND(LOOKUP(D8,SSR!B86:B321,SSR!D86:D321)/1.13615,2)</f>
        <v>510.94</v>
      </c>
      <c r="G8" s="1476"/>
      <c r="H8" s="1476"/>
      <c r="I8" s="1476"/>
      <c r="J8" s="1476">
        <f>50/1.13615</f>
        <v>44.008273555428424</v>
      </c>
      <c r="K8" s="1476">
        <f t="shared" si="0"/>
        <v>842.9482735554285</v>
      </c>
      <c r="R8" s="943"/>
      <c r="S8" s="943">
        <f>S7/2</f>
        <v>459.87654320987656</v>
      </c>
    </row>
    <row r="9" spans="1:19" x14ac:dyDescent="0.2">
      <c r="A9" s="1471">
        <v>4</v>
      </c>
      <c r="B9" s="1480" t="s">
        <v>1720</v>
      </c>
      <c r="C9" s="1481"/>
      <c r="D9" s="1474">
        <f>D8</f>
        <v>30</v>
      </c>
      <c r="E9" s="1475">
        <v>252</v>
      </c>
      <c r="F9" s="1482">
        <f>ROUND(LOOKUP(D9,SSR!B86:B322,SSR!G86:G322)/1.13615,2)</f>
        <v>400.74</v>
      </c>
      <c r="G9" s="1482"/>
      <c r="H9" s="1482"/>
      <c r="I9" s="1482"/>
      <c r="J9" s="1482">
        <f>50/1.13615</f>
        <v>44.008273555428424</v>
      </c>
      <c r="K9" s="1482">
        <f t="shared" si="0"/>
        <v>696.74827355542845</v>
      </c>
      <c r="M9" s="1483" t="s">
        <v>1721</v>
      </c>
      <c r="N9" s="1483" t="s">
        <v>1722</v>
      </c>
      <c r="O9" s="1957"/>
      <c r="P9" s="1957">
        <f>0.2*0.2*0.375</f>
        <v>1.5000000000000003E-2</v>
      </c>
      <c r="Q9" s="1957">
        <v>23</v>
      </c>
      <c r="R9" s="1957">
        <f>Q9/P9</f>
        <v>1533.333333333333</v>
      </c>
      <c r="S9" s="1957"/>
    </row>
    <row r="10" spans="1:19" x14ac:dyDescent="0.2">
      <c r="A10" s="1471">
        <v>5</v>
      </c>
      <c r="B10" s="1480" t="s">
        <v>1723</v>
      </c>
      <c r="C10" s="1481"/>
      <c r="D10" s="1474">
        <f>D8</f>
        <v>30</v>
      </c>
      <c r="E10" s="1922">
        <v>1360.95</v>
      </c>
      <c r="F10" s="1482">
        <f>ROUND(LOOKUP(D10,SSR!B87:B323,SSR!D87:D323)/1.13615,2)</f>
        <v>510.94</v>
      </c>
      <c r="G10" s="1482"/>
      <c r="H10" s="1482"/>
      <c r="I10" s="1482"/>
      <c r="J10" s="1482">
        <f>50/1.13615</f>
        <v>44.008273555428424</v>
      </c>
      <c r="K10" s="1482">
        <f t="shared" si="0"/>
        <v>1915.8982735554284</v>
      </c>
      <c r="M10" s="1483"/>
      <c r="N10" s="1483"/>
      <c r="O10" s="1957">
        <f>30/(0.24*0.24*0.39)</f>
        <v>1335.4700854700855</v>
      </c>
      <c r="P10" s="1957">
        <f>0.25*0.25*0.525</f>
        <v>3.2812500000000001E-2</v>
      </c>
      <c r="Q10" s="1957">
        <v>39</v>
      </c>
      <c r="R10" s="1957">
        <f>Q10/P10</f>
        <v>1188.5714285714284</v>
      </c>
      <c r="S10" s="1957">
        <f>R9+R10</f>
        <v>2721.9047619047615</v>
      </c>
    </row>
    <row r="11" spans="1:19" x14ac:dyDescent="0.2">
      <c r="A11" s="1471">
        <v>6</v>
      </c>
      <c r="B11" s="1484" t="s">
        <v>1724</v>
      </c>
      <c r="C11" s="1473"/>
      <c r="D11" s="1474">
        <v>20</v>
      </c>
      <c r="E11" s="1475">
        <v>610</v>
      </c>
      <c r="F11" s="1476">
        <f>ROUND(LOOKUP(D11,SSR!$B$86:$B$323,SSR!$C$86:$C$323)/1.13615,2)</f>
        <v>365.53</v>
      </c>
      <c r="G11" s="1477"/>
      <c r="H11" s="1485"/>
      <c r="I11" s="1485"/>
      <c r="J11" s="1476">
        <f>40/1.13615</f>
        <v>35.206618844342735</v>
      </c>
      <c r="K11" s="1476">
        <f t="shared" si="0"/>
        <v>1010.7366188443427</v>
      </c>
      <c r="M11" s="1483"/>
      <c r="N11" s="1483"/>
      <c r="O11" s="1957"/>
      <c r="P11" s="1957"/>
      <c r="Q11" s="1957" t="s">
        <v>2151</v>
      </c>
      <c r="R11" s="1957"/>
      <c r="S11" s="1957">
        <f>S10/2</f>
        <v>1360.9523809523807</v>
      </c>
    </row>
    <row r="12" spans="1:19" x14ac:dyDescent="0.2">
      <c r="A12" s="1471">
        <v>7</v>
      </c>
      <c r="B12" s="1484" t="s">
        <v>1725</v>
      </c>
      <c r="C12" s="1473"/>
      <c r="D12" s="1474">
        <f>D11</f>
        <v>20</v>
      </c>
      <c r="E12" s="1475">
        <v>677</v>
      </c>
      <c r="F12" s="1476">
        <f>ROUND(LOOKUP(D12,SSR!$B$86:$B$323,SSR!$C$86:$C$323)/1.13615,2)</f>
        <v>365.53</v>
      </c>
      <c r="G12" s="1477"/>
      <c r="H12" s="1485"/>
      <c r="I12" s="1485"/>
      <c r="J12" s="1476">
        <f>40/1.13615</f>
        <v>35.206618844342735</v>
      </c>
      <c r="K12" s="1476">
        <f>+E12+F12+J12</f>
        <v>1077.7366188443427</v>
      </c>
      <c r="M12" s="1483"/>
      <c r="N12" s="1483"/>
      <c r="O12" s="1483"/>
      <c r="P12" s="1483"/>
    </row>
    <row r="13" spans="1:19" x14ac:dyDescent="0.2">
      <c r="A13" s="1471">
        <v>8</v>
      </c>
      <c r="B13" s="1484" t="s">
        <v>1726</v>
      </c>
      <c r="C13" s="1473"/>
      <c r="D13" s="1474">
        <v>5</v>
      </c>
      <c r="E13" s="1475">
        <v>460</v>
      </c>
      <c r="F13" s="1476">
        <f>ROUND(LOOKUP(D13,SSR!B86:B324,SSR!C86:C324)/1.13615,2)</f>
        <v>201.82</v>
      </c>
      <c r="G13" s="1476"/>
      <c r="H13" s="1485"/>
      <c r="I13" s="1485"/>
      <c r="J13" s="1476">
        <f>40/1.13615</f>
        <v>35.206618844342735</v>
      </c>
      <c r="K13" s="1476">
        <f t="shared" si="0"/>
        <v>697.02661884434269</v>
      </c>
      <c r="M13" s="1483"/>
      <c r="N13" s="1483"/>
      <c r="O13" s="1483"/>
      <c r="P13" s="1483"/>
    </row>
    <row r="14" spans="1:19" x14ac:dyDescent="0.2">
      <c r="A14" s="1471">
        <v>9</v>
      </c>
      <c r="B14" s="1486" t="s">
        <v>1000</v>
      </c>
      <c r="C14" s="1473"/>
      <c r="D14" s="1474">
        <v>5</v>
      </c>
      <c r="E14" s="1956">
        <v>5200</v>
      </c>
      <c r="F14" s="1476">
        <f>ROUND(LOOKUP(D14,SSR!B86:B325,SSR!E86:E325)/1.13615,2)</f>
        <v>303.57</v>
      </c>
      <c r="G14" s="1477"/>
      <c r="H14" s="1487"/>
      <c r="I14" s="1485"/>
      <c r="J14" s="1482">
        <f>38.5/1.13615</f>
        <v>33.886370637679882</v>
      </c>
      <c r="K14" s="1476">
        <f>+E14+F14+J14</f>
        <v>5537.4563706376794</v>
      </c>
      <c r="M14" s="1483" t="s">
        <v>2169</v>
      </c>
      <c r="N14" s="1483"/>
      <c r="O14" s="1483"/>
      <c r="P14" s="1483"/>
    </row>
    <row r="15" spans="1:19" x14ac:dyDescent="0.2">
      <c r="A15" s="1488">
        <v>10</v>
      </c>
      <c r="B15" s="1489" t="s">
        <v>2163</v>
      </c>
      <c r="C15" s="1473"/>
      <c r="D15" s="1474"/>
      <c r="E15" s="1490">
        <v>6400</v>
      </c>
      <c r="F15" s="1478"/>
      <c r="G15" s="1478"/>
      <c r="H15" s="1478"/>
      <c r="I15" s="1478"/>
      <c r="J15" s="1478"/>
      <c r="K15" s="1476">
        <f>+E15+F15-G15</f>
        <v>6400</v>
      </c>
      <c r="L15" s="942">
        <v>281</v>
      </c>
      <c r="M15" s="1964">
        <f>L15*20</f>
        <v>5620</v>
      </c>
      <c r="N15" s="1483" t="s">
        <v>2162</v>
      </c>
      <c r="O15" s="1483"/>
      <c r="P15" s="1483"/>
    </row>
    <row r="16" spans="1:19" x14ac:dyDescent="0.2">
      <c r="A16" s="1488">
        <v>11</v>
      </c>
      <c r="B16" s="1489" t="s">
        <v>1727</v>
      </c>
      <c r="C16" s="1473"/>
      <c r="D16" s="1474"/>
      <c r="E16" s="1490">
        <v>42000</v>
      </c>
      <c r="F16" s="1478"/>
      <c r="G16" s="1478"/>
      <c r="H16" s="1478"/>
      <c r="I16" s="1478"/>
      <c r="J16" s="1478"/>
      <c r="K16" s="1476">
        <f>+E16+F16-G16</f>
        <v>42000</v>
      </c>
      <c r="M16" s="1964" t="s">
        <v>2164</v>
      </c>
      <c r="N16" s="1964">
        <v>6400</v>
      </c>
      <c r="O16" s="1483"/>
      <c r="P16" s="1483"/>
    </row>
    <row r="17" spans="1:22" x14ac:dyDescent="0.2">
      <c r="A17" s="1488">
        <v>12</v>
      </c>
      <c r="B17" s="1489" t="s">
        <v>1728</v>
      </c>
      <c r="C17" s="1473"/>
      <c r="D17" s="1474"/>
      <c r="E17" s="1490">
        <v>45000</v>
      </c>
      <c r="F17" s="1478"/>
      <c r="G17" s="1478"/>
      <c r="H17" s="1478"/>
      <c r="I17" s="1478"/>
      <c r="J17" s="1478"/>
      <c r="K17" s="1476">
        <f>+E17+F17-G17</f>
        <v>45000</v>
      </c>
      <c r="M17" s="1483"/>
      <c r="N17" s="1483"/>
      <c r="O17" s="1483"/>
      <c r="P17" s="1483"/>
    </row>
    <row r="18" spans="1:22" x14ac:dyDescent="0.2">
      <c r="A18" s="1471">
        <v>13</v>
      </c>
      <c r="B18" s="1472" t="s">
        <v>1729</v>
      </c>
      <c r="C18" s="1473"/>
      <c r="D18" s="1474">
        <f>D7</f>
        <v>50</v>
      </c>
      <c r="E18" s="1475">
        <v>735</v>
      </c>
      <c r="F18" s="1476">
        <f>ROUND(LOOKUP(D18,SSR!B86:B328,SSR!D86:D328)/1.13615,2)</f>
        <v>692.25</v>
      </c>
      <c r="G18" s="1472"/>
      <c r="H18" s="1472"/>
      <c r="I18" s="1472"/>
      <c r="J18" s="1476">
        <f>50/1.13615</f>
        <v>44.008273555428424</v>
      </c>
      <c r="K18" s="1476">
        <f t="shared" ref="K18:K25" si="1">+E18+F18+J18</f>
        <v>1471.2582735554283</v>
      </c>
      <c r="M18" s="1483">
        <v>532</v>
      </c>
      <c r="N18" s="1483">
        <f>M18*0.25</f>
        <v>133</v>
      </c>
      <c r="O18" s="1483"/>
      <c r="P18" s="1483"/>
    </row>
    <row r="19" spans="1:22" x14ac:dyDescent="0.2">
      <c r="A19" s="1491">
        <v>14</v>
      </c>
      <c r="B19" s="1472" t="s">
        <v>1730</v>
      </c>
      <c r="C19" s="1473"/>
      <c r="D19" s="1474">
        <f>D18</f>
        <v>50</v>
      </c>
      <c r="E19" s="1492">
        <v>1097</v>
      </c>
      <c r="F19" s="1476">
        <f>ROUND(LOOKUP(D19,SSR!B86:B329,SSR!D86:D329)/1.13615,2)</f>
        <v>692.25</v>
      </c>
      <c r="G19" s="1472"/>
      <c r="H19" s="1472"/>
      <c r="I19" s="1472"/>
      <c r="J19" s="1476">
        <f>50/1.13615</f>
        <v>44.008273555428424</v>
      </c>
      <c r="K19" s="1476">
        <f t="shared" si="1"/>
        <v>1833.2582735554283</v>
      </c>
      <c r="M19" s="1483"/>
      <c r="N19" s="1483">
        <f>M18+N18+70</f>
        <v>735</v>
      </c>
      <c r="O19" s="1483"/>
      <c r="P19" s="1483"/>
    </row>
    <row r="20" spans="1:22" x14ac:dyDescent="0.2">
      <c r="A20" s="1491">
        <v>15</v>
      </c>
      <c r="B20" s="1472" t="s">
        <v>1731</v>
      </c>
      <c r="C20" s="1473"/>
      <c r="D20" s="1474">
        <f>D19</f>
        <v>50</v>
      </c>
      <c r="E20" s="1492">
        <v>935</v>
      </c>
      <c r="F20" s="1476">
        <f>ROUND(LOOKUP(D20,SSR!B86:B329,SSR!D86:D329)/1.13615,2)</f>
        <v>692.25</v>
      </c>
      <c r="G20" s="1472"/>
      <c r="H20" s="1472"/>
      <c r="I20" s="1472"/>
      <c r="J20" s="1476">
        <f>50/1.13615</f>
        <v>44.008273555428424</v>
      </c>
      <c r="K20" s="1476">
        <f t="shared" si="1"/>
        <v>1671.2582735554283</v>
      </c>
      <c r="M20" s="1483"/>
      <c r="N20" s="1483"/>
      <c r="O20" s="1483"/>
      <c r="P20" s="1483"/>
    </row>
    <row r="21" spans="1:22" x14ac:dyDescent="0.2">
      <c r="A21" s="1491">
        <v>16</v>
      </c>
      <c r="B21" s="1480" t="s">
        <v>1732</v>
      </c>
      <c r="C21" s="1481"/>
      <c r="D21" s="1474">
        <f>D9</f>
        <v>30</v>
      </c>
      <c r="E21" s="1492">
        <v>318</v>
      </c>
      <c r="F21" s="1482">
        <f>ROUND(LOOKUP(D21,SSR!B86:B330,SSR!G86:G330)/1.13615,2)</f>
        <v>400.74</v>
      </c>
      <c r="G21" s="1480"/>
      <c r="H21" s="1480"/>
      <c r="I21" s="1480"/>
      <c r="J21" s="1482">
        <f>50/1.13615</f>
        <v>44.008273555428424</v>
      </c>
      <c r="K21" s="1482">
        <f t="shared" si="1"/>
        <v>762.74827355542845</v>
      </c>
      <c r="M21" s="1483" t="s">
        <v>1733</v>
      </c>
      <c r="N21" s="1483"/>
      <c r="O21" s="1483"/>
      <c r="P21" s="1483"/>
    </row>
    <row r="22" spans="1:22" x14ac:dyDescent="0.2">
      <c r="A22" s="1491">
        <v>17</v>
      </c>
      <c r="B22" s="1493" t="s">
        <v>1734</v>
      </c>
      <c r="C22" s="1473"/>
      <c r="D22" s="1474">
        <v>7</v>
      </c>
      <c r="E22" s="1492">
        <v>103</v>
      </c>
      <c r="F22" s="1476">
        <f>ROUND(LOOKUP(D22,SSR!B86:B331,SSR!C86:C331)+108.2/1.13615,2)</f>
        <v>349.33</v>
      </c>
      <c r="G22" s="1472"/>
      <c r="H22" s="1472"/>
      <c r="I22" s="1472"/>
      <c r="J22" s="1476">
        <f>22/1.13615</f>
        <v>19.363640364388505</v>
      </c>
      <c r="K22" s="1476">
        <f t="shared" si="1"/>
        <v>471.6936403643885</v>
      </c>
      <c r="M22" s="1483"/>
      <c r="N22" s="1483"/>
      <c r="O22" s="1483"/>
      <c r="P22" s="1483"/>
    </row>
    <row r="23" spans="1:22" s="1008" customFormat="1" x14ac:dyDescent="0.2">
      <c r="A23" s="1488">
        <v>18</v>
      </c>
      <c r="B23" s="1472" t="s">
        <v>1735</v>
      </c>
      <c r="C23" s="1473"/>
      <c r="D23" s="1474">
        <v>20</v>
      </c>
      <c r="E23" s="1475">
        <v>235</v>
      </c>
      <c r="F23" s="1476">
        <f>ROUND(LOOKUP(D23,SSR!$B$86:$B$323,SSR!$H$86:$H$323)*0.05/1.13615,2)</f>
        <v>17.37</v>
      </c>
      <c r="G23" s="1476"/>
      <c r="H23" s="1476"/>
      <c r="I23" s="1479"/>
      <c r="J23" s="1476">
        <f>2.5/1.13615</f>
        <v>2.2004136777714209</v>
      </c>
      <c r="K23" s="1476">
        <f t="shared" si="1"/>
        <v>254.57041367777143</v>
      </c>
      <c r="L23" s="942"/>
      <c r="M23" s="1483" t="s">
        <v>1721</v>
      </c>
      <c r="N23" s="1483" t="s">
        <v>1722</v>
      </c>
      <c r="O23" s="1483">
        <f>50*0.05</f>
        <v>2.5</v>
      </c>
      <c r="P23" s="1483"/>
      <c r="Q23" s="942"/>
      <c r="R23" s="942"/>
      <c r="S23" s="942"/>
      <c r="T23" s="942"/>
      <c r="U23" s="942"/>
    </row>
    <row r="24" spans="1:22" s="1008" customFormat="1" x14ac:dyDescent="0.2">
      <c r="A24" s="1488">
        <v>19</v>
      </c>
      <c r="B24" s="1472" t="s">
        <v>1582</v>
      </c>
      <c r="C24" s="1473"/>
      <c r="D24" s="1474">
        <f>D21</f>
        <v>30</v>
      </c>
      <c r="E24" s="1475">
        <v>350</v>
      </c>
      <c r="F24" s="1482">
        <f>ROUND(LOOKUP(D24,SSR!B86:B333,SSR!G86:G333)/1.13615,2)</f>
        <v>400.74</v>
      </c>
      <c r="G24" s="1476"/>
      <c r="H24" s="1476"/>
      <c r="I24" s="1479"/>
      <c r="J24" s="1476">
        <f>J21</f>
        <v>44.008273555428424</v>
      </c>
      <c r="K24" s="1476">
        <f t="shared" si="1"/>
        <v>794.74827355542845</v>
      </c>
      <c r="L24" s="942"/>
      <c r="M24" s="1483"/>
      <c r="N24" s="1483"/>
      <c r="O24" s="1483"/>
      <c r="P24" s="1483"/>
      <c r="Q24" s="942"/>
      <c r="R24" s="942"/>
      <c r="S24" s="942"/>
      <c r="T24" s="942"/>
      <c r="U24" s="942"/>
    </row>
    <row r="25" spans="1:22" s="1008" customFormat="1" x14ac:dyDescent="0.2">
      <c r="A25" s="1488">
        <v>20</v>
      </c>
      <c r="B25" s="1472" t="s">
        <v>2152</v>
      </c>
      <c r="C25" s="1473"/>
      <c r="D25" s="1474">
        <f>D6</f>
        <v>50</v>
      </c>
      <c r="E25" s="1475">
        <v>1145</v>
      </c>
      <c r="F25" s="1476">
        <f>ROUND(LOOKUP(D25,SSR!B86:B337,SSR!D86:D337)/1.13615,2)</f>
        <v>692.25</v>
      </c>
      <c r="G25" s="1476"/>
      <c r="H25" s="1476"/>
      <c r="I25" s="1479"/>
      <c r="J25" s="1476">
        <f>J6</f>
        <v>44.008273555428424</v>
      </c>
      <c r="K25" s="1476">
        <f t="shared" si="1"/>
        <v>1881.2582735554283</v>
      </c>
      <c r="L25" s="942"/>
      <c r="M25" s="1483"/>
      <c r="N25" s="1483"/>
      <c r="O25" s="1483"/>
      <c r="P25" s="1483"/>
      <c r="Q25" s="942"/>
      <c r="R25" s="942"/>
      <c r="S25" s="942"/>
      <c r="T25" s="942"/>
      <c r="U25" s="942"/>
    </row>
    <row r="26" spans="1:22" x14ac:dyDescent="0.2">
      <c r="A26" s="1491">
        <v>21</v>
      </c>
      <c r="B26" s="2025" t="s">
        <v>1736</v>
      </c>
      <c r="C26" s="2025"/>
      <c r="D26" s="1494">
        <v>26000</v>
      </c>
      <c r="M26" s="1483"/>
      <c r="N26" s="1483"/>
      <c r="O26" s="1483"/>
      <c r="P26" s="1483"/>
      <c r="V26" s="1495"/>
    </row>
    <row r="27" spans="1:22" hidden="1" x14ac:dyDescent="0.2">
      <c r="A27" s="1471">
        <v>22</v>
      </c>
      <c r="B27" s="2025" t="s">
        <v>1737</v>
      </c>
      <c r="C27" s="2025"/>
      <c r="D27" s="1496">
        <v>36570</v>
      </c>
      <c r="V27" s="1495"/>
    </row>
    <row r="28" spans="1:22" x14ac:dyDescent="0.2">
      <c r="V28" s="1495"/>
    </row>
    <row r="30" spans="1:22" x14ac:dyDescent="0.2">
      <c r="B30" s="942" t="s">
        <v>1738</v>
      </c>
    </row>
    <row r="32" spans="1:22" s="367" customFormat="1" ht="12.75" x14ac:dyDescent="0.2">
      <c r="B32" s="1458"/>
      <c r="D32" s="369"/>
      <c r="G32" s="369"/>
      <c r="I32" s="370"/>
      <c r="J32" s="371"/>
    </row>
    <row r="33" spans="2:10" s="367" customFormat="1" ht="12.75" x14ac:dyDescent="0.2">
      <c r="B33" s="1458"/>
      <c r="D33" s="369"/>
      <c r="G33" s="369"/>
      <c r="I33" s="369"/>
      <c r="J33" s="371"/>
    </row>
    <row r="34" spans="2:10" s="367" customFormat="1" ht="12.75" x14ac:dyDescent="0.2">
      <c r="B34" s="368"/>
      <c r="C34" s="369"/>
      <c r="D34" s="369"/>
      <c r="E34" s="372"/>
      <c r="F34" s="372"/>
      <c r="G34" s="372"/>
      <c r="H34" s="372"/>
      <c r="I34" s="373"/>
      <c r="J34" s="371"/>
    </row>
    <row r="35" spans="2:10" s="367" customFormat="1" ht="12.75" x14ac:dyDescent="0.2">
      <c r="B35" s="368"/>
      <c r="C35" s="369"/>
      <c r="D35" s="369"/>
      <c r="E35" s="369"/>
      <c r="F35" s="369"/>
      <c r="G35" s="369"/>
      <c r="H35" s="369"/>
      <c r="I35" s="369"/>
      <c r="J35" s="371"/>
    </row>
    <row r="36" spans="2:10" s="367" customFormat="1" ht="12.75" x14ac:dyDescent="0.2">
      <c r="B36" s="374"/>
      <c r="C36" s="369"/>
      <c r="D36" s="369"/>
      <c r="E36" s="372"/>
      <c r="F36" s="372"/>
      <c r="G36" s="368"/>
      <c r="H36" s="372"/>
      <c r="I36" s="369"/>
      <c r="J36" s="371"/>
    </row>
    <row r="37" spans="2:10" s="367" customFormat="1" ht="12.75" x14ac:dyDescent="0.2">
      <c r="B37" s="368"/>
      <c r="C37" s="369"/>
      <c r="D37" s="369"/>
      <c r="E37" s="372"/>
      <c r="F37" s="372"/>
      <c r="G37" s="368"/>
      <c r="H37" s="372"/>
      <c r="I37" s="369"/>
      <c r="J37" s="371"/>
    </row>
  </sheetData>
  <mergeCells count="6">
    <mergeCell ref="B27:C27"/>
    <mergeCell ref="A1:K1"/>
    <mergeCell ref="B2:J2"/>
    <mergeCell ref="A3:K3"/>
    <mergeCell ref="I4:J4"/>
    <mergeCell ref="B26:C26"/>
  </mergeCells>
  <dataValidations count="2">
    <dataValidation errorStyle="information" allowBlank="1" showInputMessage="1" showErrorMessage="1" promptTitle="MA" prompt="If MA required enter 20% in this cell and in Data sheet also."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2 JG65542 TC65542 ACY65542 AMU65542 AWQ65542 BGM65542 BQI65542 CAE65542 CKA65542 CTW65542 DDS65542 DNO65542 DXK65542 EHG65542 ERC65542 FAY65542 FKU65542 FUQ65542 GEM65542 GOI65542 GYE65542 HIA65542 HRW65542 IBS65542 ILO65542 IVK65542 JFG65542 JPC65542 JYY65542 KIU65542 KSQ65542 LCM65542 LMI65542 LWE65542 MGA65542 MPW65542 MZS65542 NJO65542 NTK65542 ODG65542 ONC65542 OWY65542 PGU65542 PQQ65542 QAM65542 QKI65542 QUE65542 REA65542 RNW65542 RXS65542 SHO65542 SRK65542 TBG65542 TLC65542 TUY65542 UEU65542 UOQ65542 UYM65542 VII65542 VSE65542 WCA65542 WLW65542 WVS65542 K131078 JG131078 TC131078 ACY131078 AMU131078 AWQ131078 BGM131078 BQI131078 CAE131078 CKA131078 CTW131078 DDS131078 DNO131078 DXK131078 EHG131078 ERC131078 FAY131078 FKU131078 FUQ131078 GEM131078 GOI131078 GYE131078 HIA131078 HRW131078 IBS131078 ILO131078 IVK131078 JFG131078 JPC131078 JYY131078 KIU131078 KSQ131078 LCM131078 LMI131078 LWE131078 MGA131078 MPW131078 MZS131078 NJO131078 NTK131078 ODG131078 ONC131078 OWY131078 PGU131078 PQQ131078 QAM131078 QKI131078 QUE131078 REA131078 RNW131078 RXS131078 SHO131078 SRK131078 TBG131078 TLC131078 TUY131078 UEU131078 UOQ131078 UYM131078 VII131078 VSE131078 WCA131078 WLW131078 WVS131078 K196614 JG196614 TC196614 ACY196614 AMU196614 AWQ196614 BGM196614 BQI196614 CAE196614 CKA196614 CTW196614 DDS196614 DNO196614 DXK196614 EHG196614 ERC196614 FAY196614 FKU196614 FUQ196614 GEM196614 GOI196614 GYE196614 HIA196614 HRW196614 IBS196614 ILO196614 IVK196614 JFG196614 JPC196614 JYY196614 KIU196614 KSQ196614 LCM196614 LMI196614 LWE196614 MGA196614 MPW196614 MZS196614 NJO196614 NTK196614 ODG196614 ONC196614 OWY196614 PGU196614 PQQ196614 QAM196614 QKI196614 QUE196614 REA196614 RNW196614 RXS196614 SHO196614 SRK196614 TBG196614 TLC196614 TUY196614 UEU196614 UOQ196614 UYM196614 VII196614 VSE196614 WCA196614 WLW196614 WVS196614 K262150 JG262150 TC262150 ACY262150 AMU262150 AWQ262150 BGM262150 BQI262150 CAE262150 CKA262150 CTW262150 DDS262150 DNO262150 DXK262150 EHG262150 ERC262150 FAY262150 FKU262150 FUQ262150 GEM262150 GOI262150 GYE262150 HIA262150 HRW262150 IBS262150 ILO262150 IVK262150 JFG262150 JPC262150 JYY262150 KIU262150 KSQ262150 LCM262150 LMI262150 LWE262150 MGA262150 MPW262150 MZS262150 NJO262150 NTK262150 ODG262150 ONC262150 OWY262150 PGU262150 PQQ262150 QAM262150 QKI262150 QUE262150 REA262150 RNW262150 RXS262150 SHO262150 SRK262150 TBG262150 TLC262150 TUY262150 UEU262150 UOQ262150 UYM262150 VII262150 VSE262150 WCA262150 WLW262150 WVS262150 K327686 JG327686 TC327686 ACY327686 AMU327686 AWQ327686 BGM327686 BQI327686 CAE327686 CKA327686 CTW327686 DDS327686 DNO327686 DXK327686 EHG327686 ERC327686 FAY327686 FKU327686 FUQ327686 GEM327686 GOI327686 GYE327686 HIA327686 HRW327686 IBS327686 ILO327686 IVK327686 JFG327686 JPC327686 JYY327686 KIU327686 KSQ327686 LCM327686 LMI327686 LWE327686 MGA327686 MPW327686 MZS327686 NJO327686 NTK327686 ODG327686 ONC327686 OWY327686 PGU327686 PQQ327686 QAM327686 QKI327686 QUE327686 REA327686 RNW327686 RXS327686 SHO327686 SRK327686 TBG327686 TLC327686 TUY327686 UEU327686 UOQ327686 UYM327686 VII327686 VSE327686 WCA327686 WLW327686 WVS327686 K393222 JG393222 TC393222 ACY393222 AMU393222 AWQ393222 BGM393222 BQI393222 CAE393222 CKA393222 CTW393222 DDS393222 DNO393222 DXK393222 EHG393222 ERC393222 FAY393222 FKU393222 FUQ393222 GEM393222 GOI393222 GYE393222 HIA393222 HRW393222 IBS393222 ILO393222 IVK393222 JFG393222 JPC393222 JYY393222 KIU393222 KSQ393222 LCM393222 LMI393222 LWE393222 MGA393222 MPW393222 MZS393222 NJO393222 NTK393222 ODG393222 ONC393222 OWY393222 PGU393222 PQQ393222 QAM393222 QKI393222 QUE393222 REA393222 RNW393222 RXS393222 SHO393222 SRK393222 TBG393222 TLC393222 TUY393222 UEU393222 UOQ393222 UYM393222 VII393222 VSE393222 WCA393222 WLW393222 WVS393222 K458758 JG458758 TC458758 ACY458758 AMU458758 AWQ458758 BGM458758 BQI458758 CAE458758 CKA458758 CTW458758 DDS458758 DNO458758 DXK458758 EHG458758 ERC458758 FAY458758 FKU458758 FUQ458758 GEM458758 GOI458758 GYE458758 HIA458758 HRW458758 IBS458758 ILO458758 IVK458758 JFG458758 JPC458758 JYY458758 KIU458758 KSQ458758 LCM458758 LMI458758 LWE458758 MGA458758 MPW458758 MZS458758 NJO458758 NTK458758 ODG458758 ONC458758 OWY458758 PGU458758 PQQ458758 QAM458758 QKI458758 QUE458758 REA458758 RNW458758 RXS458758 SHO458758 SRK458758 TBG458758 TLC458758 TUY458758 UEU458758 UOQ458758 UYM458758 VII458758 VSE458758 WCA458758 WLW458758 WVS458758 K524294 JG524294 TC524294 ACY524294 AMU524294 AWQ524294 BGM524294 BQI524294 CAE524294 CKA524294 CTW524294 DDS524294 DNO524294 DXK524294 EHG524294 ERC524294 FAY524294 FKU524294 FUQ524294 GEM524294 GOI524294 GYE524294 HIA524294 HRW524294 IBS524294 ILO524294 IVK524294 JFG524294 JPC524294 JYY524294 KIU524294 KSQ524294 LCM524294 LMI524294 LWE524294 MGA524294 MPW524294 MZS524294 NJO524294 NTK524294 ODG524294 ONC524294 OWY524294 PGU524294 PQQ524294 QAM524294 QKI524294 QUE524294 REA524294 RNW524294 RXS524294 SHO524294 SRK524294 TBG524294 TLC524294 TUY524294 UEU524294 UOQ524294 UYM524294 VII524294 VSE524294 WCA524294 WLW524294 WVS524294 K589830 JG589830 TC589830 ACY589830 AMU589830 AWQ589830 BGM589830 BQI589830 CAE589830 CKA589830 CTW589830 DDS589830 DNO589830 DXK589830 EHG589830 ERC589830 FAY589830 FKU589830 FUQ589830 GEM589830 GOI589830 GYE589830 HIA589830 HRW589830 IBS589830 ILO589830 IVK589830 JFG589830 JPC589830 JYY589830 KIU589830 KSQ589830 LCM589830 LMI589830 LWE589830 MGA589830 MPW589830 MZS589830 NJO589830 NTK589830 ODG589830 ONC589830 OWY589830 PGU589830 PQQ589830 QAM589830 QKI589830 QUE589830 REA589830 RNW589830 RXS589830 SHO589830 SRK589830 TBG589830 TLC589830 TUY589830 UEU589830 UOQ589830 UYM589830 VII589830 VSE589830 WCA589830 WLW589830 WVS589830 K655366 JG655366 TC655366 ACY655366 AMU655366 AWQ655366 BGM655366 BQI655366 CAE655366 CKA655366 CTW655366 DDS655366 DNO655366 DXK655366 EHG655366 ERC655366 FAY655366 FKU655366 FUQ655366 GEM655366 GOI655366 GYE655366 HIA655366 HRW655366 IBS655366 ILO655366 IVK655366 JFG655366 JPC655366 JYY655366 KIU655366 KSQ655366 LCM655366 LMI655366 LWE655366 MGA655366 MPW655366 MZS655366 NJO655366 NTK655366 ODG655366 ONC655366 OWY655366 PGU655366 PQQ655366 QAM655366 QKI655366 QUE655366 REA655366 RNW655366 RXS655366 SHO655366 SRK655366 TBG655366 TLC655366 TUY655366 UEU655366 UOQ655366 UYM655366 VII655366 VSE655366 WCA655366 WLW655366 WVS655366 K720902 JG720902 TC720902 ACY720902 AMU720902 AWQ720902 BGM720902 BQI720902 CAE720902 CKA720902 CTW720902 DDS720902 DNO720902 DXK720902 EHG720902 ERC720902 FAY720902 FKU720902 FUQ720902 GEM720902 GOI720902 GYE720902 HIA720902 HRW720902 IBS720902 ILO720902 IVK720902 JFG720902 JPC720902 JYY720902 KIU720902 KSQ720902 LCM720902 LMI720902 LWE720902 MGA720902 MPW720902 MZS720902 NJO720902 NTK720902 ODG720902 ONC720902 OWY720902 PGU720902 PQQ720902 QAM720902 QKI720902 QUE720902 REA720902 RNW720902 RXS720902 SHO720902 SRK720902 TBG720902 TLC720902 TUY720902 UEU720902 UOQ720902 UYM720902 VII720902 VSE720902 WCA720902 WLW720902 WVS720902 K786438 JG786438 TC786438 ACY786438 AMU786438 AWQ786438 BGM786438 BQI786438 CAE786438 CKA786438 CTW786438 DDS786438 DNO786438 DXK786438 EHG786438 ERC786438 FAY786438 FKU786438 FUQ786438 GEM786438 GOI786438 GYE786438 HIA786438 HRW786438 IBS786438 ILO786438 IVK786438 JFG786438 JPC786438 JYY786438 KIU786438 KSQ786438 LCM786438 LMI786438 LWE786438 MGA786438 MPW786438 MZS786438 NJO786438 NTK786438 ODG786438 ONC786438 OWY786438 PGU786438 PQQ786438 QAM786438 QKI786438 QUE786438 REA786438 RNW786438 RXS786438 SHO786438 SRK786438 TBG786438 TLC786438 TUY786438 UEU786438 UOQ786438 UYM786438 VII786438 VSE786438 WCA786438 WLW786438 WVS786438 K851974 JG851974 TC851974 ACY851974 AMU851974 AWQ851974 BGM851974 BQI851974 CAE851974 CKA851974 CTW851974 DDS851974 DNO851974 DXK851974 EHG851974 ERC851974 FAY851974 FKU851974 FUQ851974 GEM851974 GOI851974 GYE851974 HIA851974 HRW851974 IBS851974 ILO851974 IVK851974 JFG851974 JPC851974 JYY851974 KIU851974 KSQ851974 LCM851974 LMI851974 LWE851974 MGA851974 MPW851974 MZS851974 NJO851974 NTK851974 ODG851974 ONC851974 OWY851974 PGU851974 PQQ851974 QAM851974 QKI851974 QUE851974 REA851974 RNW851974 RXS851974 SHO851974 SRK851974 TBG851974 TLC851974 TUY851974 UEU851974 UOQ851974 UYM851974 VII851974 VSE851974 WCA851974 WLW851974 WVS851974 K917510 JG917510 TC917510 ACY917510 AMU917510 AWQ917510 BGM917510 BQI917510 CAE917510 CKA917510 CTW917510 DDS917510 DNO917510 DXK917510 EHG917510 ERC917510 FAY917510 FKU917510 FUQ917510 GEM917510 GOI917510 GYE917510 HIA917510 HRW917510 IBS917510 ILO917510 IVK917510 JFG917510 JPC917510 JYY917510 KIU917510 KSQ917510 LCM917510 LMI917510 LWE917510 MGA917510 MPW917510 MZS917510 NJO917510 NTK917510 ODG917510 ONC917510 OWY917510 PGU917510 PQQ917510 QAM917510 QKI917510 QUE917510 REA917510 RNW917510 RXS917510 SHO917510 SRK917510 TBG917510 TLC917510 TUY917510 UEU917510 UOQ917510 UYM917510 VII917510 VSE917510 WCA917510 WLW917510 WVS917510 K983046 JG983046 TC983046 ACY983046 AMU983046 AWQ983046 BGM983046 BQI983046 CAE983046 CKA983046 CTW983046 DDS983046 DNO983046 DXK983046 EHG983046 ERC983046 FAY983046 FKU983046 FUQ983046 GEM983046 GOI983046 GYE983046 HIA983046 HRW983046 IBS983046 ILO983046 IVK983046 JFG983046 JPC983046 JYY983046 KIU983046 KSQ983046 LCM983046 LMI983046 LWE983046 MGA983046 MPW983046 MZS983046 NJO983046 NTK983046 ODG983046 ONC983046 OWY983046 PGU983046 PQQ983046 QAM983046 QKI983046 QUE983046 REA983046 RNW983046 RXS983046 SHO983046 SRK983046 TBG983046 TLC983046 TUY983046 UEU983046 UOQ983046 UYM983046 VII983046 VSE983046 WCA983046 WLW983046 WVS983046"/>
    <dataValidation errorStyle="information" allowBlank="1" showInputMessage="1" showErrorMessage="1" errorTitle="M A" error="Enter MA if required ni lead and Data sheet" promptTitle="Municipal allowance" prompt="If MA is there enter 20% in K4 cell and data sheet also" sqref="WLP983048:WLP983054 IZ18:IZ20 SV18:SV20 ACR18:ACR20 AMN18:AMN20 AWJ18:AWJ20 BGF18:BGF20 BQB18:BQB20 BZX18:BZX20 CJT18:CJT20 CTP18:CTP20 DDL18:DDL20 DNH18:DNH20 DXD18:DXD20 EGZ18:EGZ20 EQV18:EQV20 FAR18:FAR20 FKN18:FKN20 FUJ18:FUJ20 GEF18:GEF20 GOB18:GOB20 GXX18:GXX20 HHT18:HHT20 HRP18:HRP20 IBL18:IBL20 ILH18:ILH20 IVD18:IVD20 JEZ18:JEZ20 JOV18:JOV20 JYR18:JYR20 KIN18:KIN20 KSJ18:KSJ20 LCF18:LCF20 LMB18:LMB20 LVX18:LVX20 MFT18:MFT20 MPP18:MPP20 MZL18:MZL20 NJH18:NJH20 NTD18:NTD20 OCZ18:OCZ20 OMV18:OMV20 OWR18:OWR20 PGN18:PGN20 PQJ18:PQJ20 QAF18:QAF20 QKB18:QKB20 QTX18:QTX20 RDT18:RDT20 RNP18:RNP20 RXL18:RXL20 SHH18:SHH20 SRD18:SRD20 TAZ18:TAZ20 TKV18:TKV20 TUR18:TUR20 UEN18:UEN20 UOJ18:UOJ20 UYF18:UYF20 VIB18:VIB20 VRX18:VRX20 WBT18:WBT20 WLP18:WLP20 WVL18:WVL20 D65556:D65558 IZ65556:IZ65558 SV65556:SV65558 ACR65556:ACR65558 AMN65556:AMN65558 AWJ65556:AWJ65558 BGF65556:BGF65558 BQB65556:BQB65558 BZX65556:BZX65558 CJT65556:CJT65558 CTP65556:CTP65558 DDL65556:DDL65558 DNH65556:DNH65558 DXD65556:DXD65558 EGZ65556:EGZ65558 EQV65556:EQV65558 FAR65556:FAR65558 FKN65556:FKN65558 FUJ65556:FUJ65558 GEF65556:GEF65558 GOB65556:GOB65558 GXX65556:GXX65558 HHT65556:HHT65558 HRP65556:HRP65558 IBL65556:IBL65558 ILH65556:ILH65558 IVD65556:IVD65558 JEZ65556:JEZ65558 JOV65556:JOV65558 JYR65556:JYR65558 KIN65556:KIN65558 KSJ65556:KSJ65558 LCF65556:LCF65558 LMB65556:LMB65558 LVX65556:LVX65558 MFT65556:MFT65558 MPP65556:MPP65558 MZL65556:MZL65558 NJH65556:NJH65558 NTD65556:NTD65558 OCZ65556:OCZ65558 OMV65556:OMV65558 OWR65556:OWR65558 PGN65556:PGN65558 PQJ65556:PQJ65558 QAF65556:QAF65558 QKB65556:QKB65558 QTX65556:QTX65558 RDT65556:RDT65558 RNP65556:RNP65558 RXL65556:RXL65558 SHH65556:SHH65558 SRD65556:SRD65558 TAZ65556:TAZ65558 TKV65556:TKV65558 TUR65556:TUR65558 UEN65556:UEN65558 UOJ65556:UOJ65558 UYF65556:UYF65558 VIB65556:VIB65558 VRX65556:VRX65558 WBT65556:WBT65558 WLP65556:WLP65558 WVL65556:WVL65558 D131092:D131094 IZ131092:IZ131094 SV131092:SV131094 ACR131092:ACR131094 AMN131092:AMN131094 AWJ131092:AWJ131094 BGF131092:BGF131094 BQB131092:BQB131094 BZX131092:BZX131094 CJT131092:CJT131094 CTP131092:CTP131094 DDL131092:DDL131094 DNH131092:DNH131094 DXD131092:DXD131094 EGZ131092:EGZ131094 EQV131092:EQV131094 FAR131092:FAR131094 FKN131092:FKN131094 FUJ131092:FUJ131094 GEF131092:GEF131094 GOB131092:GOB131094 GXX131092:GXX131094 HHT131092:HHT131094 HRP131092:HRP131094 IBL131092:IBL131094 ILH131092:ILH131094 IVD131092:IVD131094 JEZ131092:JEZ131094 JOV131092:JOV131094 JYR131092:JYR131094 KIN131092:KIN131094 KSJ131092:KSJ131094 LCF131092:LCF131094 LMB131092:LMB131094 LVX131092:LVX131094 MFT131092:MFT131094 MPP131092:MPP131094 MZL131092:MZL131094 NJH131092:NJH131094 NTD131092:NTD131094 OCZ131092:OCZ131094 OMV131092:OMV131094 OWR131092:OWR131094 PGN131092:PGN131094 PQJ131092:PQJ131094 QAF131092:QAF131094 QKB131092:QKB131094 QTX131092:QTX131094 RDT131092:RDT131094 RNP131092:RNP131094 RXL131092:RXL131094 SHH131092:SHH131094 SRD131092:SRD131094 TAZ131092:TAZ131094 TKV131092:TKV131094 TUR131092:TUR131094 UEN131092:UEN131094 UOJ131092:UOJ131094 UYF131092:UYF131094 VIB131092:VIB131094 VRX131092:VRX131094 WBT131092:WBT131094 WLP131092:WLP131094 WVL131092:WVL131094 D196628:D196630 IZ196628:IZ196630 SV196628:SV196630 ACR196628:ACR196630 AMN196628:AMN196630 AWJ196628:AWJ196630 BGF196628:BGF196630 BQB196628:BQB196630 BZX196628:BZX196630 CJT196628:CJT196630 CTP196628:CTP196630 DDL196628:DDL196630 DNH196628:DNH196630 DXD196628:DXD196630 EGZ196628:EGZ196630 EQV196628:EQV196630 FAR196628:FAR196630 FKN196628:FKN196630 FUJ196628:FUJ196630 GEF196628:GEF196630 GOB196628:GOB196630 GXX196628:GXX196630 HHT196628:HHT196630 HRP196628:HRP196630 IBL196628:IBL196630 ILH196628:ILH196630 IVD196628:IVD196630 JEZ196628:JEZ196630 JOV196628:JOV196630 JYR196628:JYR196630 KIN196628:KIN196630 KSJ196628:KSJ196630 LCF196628:LCF196630 LMB196628:LMB196630 LVX196628:LVX196630 MFT196628:MFT196630 MPP196628:MPP196630 MZL196628:MZL196630 NJH196628:NJH196630 NTD196628:NTD196630 OCZ196628:OCZ196630 OMV196628:OMV196630 OWR196628:OWR196630 PGN196628:PGN196630 PQJ196628:PQJ196630 QAF196628:QAF196630 QKB196628:QKB196630 QTX196628:QTX196630 RDT196628:RDT196630 RNP196628:RNP196630 RXL196628:RXL196630 SHH196628:SHH196630 SRD196628:SRD196630 TAZ196628:TAZ196630 TKV196628:TKV196630 TUR196628:TUR196630 UEN196628:UEN196630 UOJ196628:UOJ196630 UYF196628:UYF196630 VIB196628:VIB196630 VRX196628:VRX196630 WBT196628:WBT196630 WLP196628:WLP196630 WVL196628:WVL196630 D262164:D262166 IZ262164:IZ262166 SV262164:SV262166 ACR262164:ACR262166 AMN262164:AMN262166 AWJ262164:AWJ262166 BGF262164:BGF262166 BQB262164:BQB262166 BZX262164:BZX262166 CJT262164:CJT262166 CTP262164:CTP262166 DDL262164:DDL262166 DNH262164:DNH262166 DXD262164:DXD262166 EGZ262164:EGZ262166 EQV262164:EQV262166 FAR262164:FAR262166 FKN262164:FKN262166 FUJ262164:FUJ262166 GEF262164:GEF262166 GOB262164:GOB262166 GXX262164:GXX262166 HHT262164:HHT262166 HRP262164:HRP262166 IBL262164:IBL262166 ILH262164:ILH262166 IVD262164:IVD262166 JEZ262164:JEZ262166 JOV262164:JOV262166 JYR262164:JYR262166 KIN262164:KIN262166 KSJ262164:KSJ262166 LCF262164:LCF262166 LMB262164:LMB262166 LVX262164:LVX262166 MFT262164:MFT262166 MPP262164:MPP262166 MZL262164:MZL262166 NJH262164:NJH262166 NTD262164:NTD262166 OCZ262164:OCZ262166 OMV262164:OMV262166 OWR262164:OWR262166 PGN262164:PGN262166 PQJ262164:PQJ262166 QAF262164:QAF262166 QKB262164:QKB262166 QTX262164:QTX262166 RDT262164:RDT262166 RNP262164:RNP262166 RXL262164:RXL262166 SHH262164:SHH262166 SRD262164:SRD262166 TAZ262164:TAZ262166 TKV262164:TKV262166 TUR262164:TUR262166 UEN262164:UEN262166 UOJ262164:UOJ262166 UYF262164:UYF262166 VIB262164:VIB262166 VRX262164:VRX262166 WBT262164:WBT262166 WLP262164:WLP262166 WVL262164:WVL262166 D327700:D327702 IZ327700:IZ327702 SV327700:SV327702 ACR327700:ACR327702 AMN327700:AMN327702 AWJ327700:AWJ327702 BGF327700:BGF327702 BQB327700:BQB327702 BZX327700:BZX327702 CJT327700:CJT327702 CTP327700:CTP327702 DDL327700:DDL327702 DNH327700:DNH327702 DXD327700:DXD327702 EGZ327700:EGZ327702 EQV327700:EQV327702 FAR327700:FAR327702 FKN327700:FKN327702 FUJ327700:FUJ327702 GEF327700:GEF327702 GOB327700:GOB327702 GXX327700:GXX327702 HHT327700:HHT327702 HRP327700:HRP327702 IBL327700:IBL327702 ILH327700:ILH327702 IVD327700:IVD327702 JEZ327700:JEZ327702 JOV327700:JOV327702 JYR327700:JYR327702 KIN327700:KIN327702 KSJ327700:KSJ327702 LCF327700:LCF327702 LMB327700:LMB327702 LVX327700:LVX327702 MFT327700:MFT327702 MPP327700:MPP327702 MZL327700:MZL327702 NJH327700:NJH327702 NTD327700:NTD327702 OCZ327700:OCZ327702 OMV327700:OMV327702 OWR327700:OWR327702 PGN327700:PGN327702 PQJ327700:PQJ327702 QAF327700:QAF327702 QKB327700:QKB327702 QTX327700:QTX327702 RDT327700:RDT327702 RNP327700:RNP327702 RXL327700:RXL327702 SHH327700:SHH327702 SRD327700:SRD327702 TAZ327700:TAZ327702 TKV327700:TKV327702 TUR327700:TUR327702 UEN327700:UEN327702 UOJ327700:UOJ327702 UYF327700:UYF327702 VIB327700:VIB327702 VRX327700:VRX327702 WBT327700:WBT327702 WLP327700:WLP327702 WVL327700:WVL327702 D393236:D393238 IZ393236:IZ393238 SV393236:SV393238 ACR393236:ACR393238 AMN393236:AMN393238 AWJ393236:AWJ393238 BGF393236:BGF393238 BQB393236:BQB393238 BZX393236:BZX393238 CJT393236:CJT393238 CTP393236:CTP393238 DDL393236:DDL393238 DNH393236:DNH393238 DXD393236:DXD393238 EGZ393236:EGZ393238 EQV393236:EQV393238 FAR393236:FAR393238 FKN393236:FKN393238 FUJ393236:FUJ393238 GEF393236:GEF393238 GOB393236:GOB393238 GXX393236:GXX393238 HHT393236:HHT393238 HRP393236:HRP393238 IBL393236:IBL393238 ILH393236:ILH393238 IVD393236:IVD393238 JEZ393236:JEZ393238 JOV393236:JOV393238 JYR393236:JYR393238 KIN393236:KIN393238 KSJ393236:KSJ393238 LCF393236:LCF393238 LMB393236:LMB393238 LVX393236:LVX393238 MFT393236:MFT393238 MPP393236:MPP393238 MZL393236:MZL393238 NJH393236:NJH393238 NTD393236:NTD393238 OCZ393236:OCZ393238 OMV393236:OMV393238 OWR393236:OWR393238 PGN393236:PGN393238 PQJ393236:PQJ393238 QAF393236:QAF393238 QKB393236:QKB393238 QTX393236:QTX393238 RDT393236:RDT393238 RNP393236:RNP393238 RXL393236:RXL393238 SHH393236:SHH393238 SRD393236:SRD393238 TAZ393236:TAZ393238 TKV393236:TKV393238 TUR393236:TUR393238 UEN393236:UEN393238 UOJ393236:UOJ393238 UYF393236:UYF393238 VIB393236:VIB393238 VRX393236:VRX393238 WBT393236:WBT393238 WLP393236:WLP393238 WVL393236:WVL393238 D458772:D458774 IZ458772:IZ458774 SV458772:SV458774 ACR458772:ACR458774 AMN458772:AMN458774 AWJ458772:AWJ458774 BGF458772:BGF458774 BQB458772:BQB458774 BZX458772:BZX458774 CJT458772:CJT458774 CTP458772:CTP458774 DDL458772:DDL458774 DNH458772:DNH458774 DXD458772:DXD458774 EGZ458772:EGZ458774 EQV458772:EQV458774 FAR458772:FAR458774 FKN458772:FKN458774 FUJ458772:FUJ458774 GEF458772:GEF458774 GOB458772:GOB458774 GXX458772:GXX458774 HHT458772:HHT458774 HRP458772:HRP458774 IBL458772:IBL458774 ILH458772:ILH458774 IVD458772:IVD458774 JEZ458772:JEZ458774 JOV458772:JOV458774 JYR458772:JYR458774 KIN458772:KIN458774 KSJ458772:KSJ458774 LCF458772:LCF458774 LMB458772:LMB458774 LVX458772:LVX458774 MFT458772:MFT458774 MPP458772:MPP458774 MZL458772:MZL458774 NJH458772:NJH458774 NTD458772:NTD458774 OCZ458772:OCZ458774 OMV458772:OMV458774 OWR458772:OWR458774 PGN458772:PGN458774 PQJ458772:PQJ458774 QAF458772:QAF458774 QKB458772:QKB458774 QTX458772:QTX458774 RDT458772:RDT458774 RNP458772:RNP458774 RXL458772:RXL458774 SHH458772:SHH458774 SRD458772:SRD458774 TAZ458772:TAZ458774 TKV458772:TKV458774 TUR458772:TUR458774 UEN458772:UEN458774 UOJ458772:UOJ458774 UYF458772:UYF458774 VIB458772:VIB458774 VRX458772:VRX458774 WBT458772:WBT458774 WLP458772:WLP458774 WVL458772:WVL458774 D524308:D524310 IZ524308:IZ524310 SV524308:SV524310 ACR524308:ACR524310 AMN524308:AMN524310 AWJ524308:AWJ524310 BGF524308:BGF524310 BQB524308:BQB524310 BZX524308:BZX524310 CJT524308:CJT524310 CTP524308:CTP524310 DDL524308:DDL524310 DNH524308:DNH524310 DXD524308:DXD524310 EGZ524308:EGZ524310 EQV524308:EQV524310 FAR524308:FAR524310 FKN524308:FKN524310 FUJ524308:FUJ524310 GEF524308:GEF524310 GOB524308:GOB524310 GXX524308:GXX524310 HHT524308:HHT524310 HRP524308:HRP524310 IBL524308:IBL524310 ILH524308:ILH524310 IVD524308:IVD524310 JEZ524308:JEZ524310 JOV524308:JOV524310 JYR524308:JYR524310 KIN524308:KIN524310 KSJ524308:KSJ524310 LCF524308:LCF524310 LMB524308:LMB524310 LVX524308:LVX524310 MFT524308:MFT524310 MPP524308:MPP524310 MZL524308:MZL524310 NJH524308:NJH524310 NTD524308:NTD524310 OCZ524308:OCZ524310 OMV524308:OMV524310 OWR524308:OWR524310 PGN524308:PGN524310 PQJ524308:PQJ524310 QAF524308:QAF524310 QKB524308:QKB524310 QTX524308:QTX524310 RDT524308:RDT524310 RNP524308:RNP524310 RXL524308:RXL524310 SHH524308:SHH524310 SRD524308:SRD524310 TAZ524308:TAZ524310 TKV524308:TKV524310 TUR524308:TUR524310 UEN524308:UEN524310 UOJ524308:UOJ524310 UYF524308:UYF524310 VIB524308:VIB524310 VRX524308:VRX524310 WBT524308:WBT524310 WLP524308:WLP524310 WVL524308:WVL524310 D589844:D589846 IZ589844:IZ589846 SV589844:SV589846 ACR589844:ACR589846 AMN589844:AMN589846 AWJ589844:AWJ589846 BGF589844:BGF589846 BQB589844:BQB589846 BZX589844:BZX589846 CJT589844:CJT589846 CTP589844:CTP589846 DDL589844:DDL589846 DNH589844:DNH589846 DXD589844:DXD589846 EGZ589844:EGZ589846 EQV589844:EQV589846 FAR589844:FAR589846 FKN589844:FKN589846 FUJ589844:FUJ589846 GEF589844:GEF589846 GOB589844:GOB589846 GXX589844:GXX589846 HHT589844:HHT589846 HRP589844:HRP589846 IBL589844:IBL589846 ILH589844:ILH589846 IVD589844:IVD589846 JEZ589844:JEZ589846 JOV589844:JOV589846 JYR589844:JYR589846 KIN589844:KIN589846 KSJ589844:KSJ589846 LCF589844:LCF589846 LMB589844:LMB589846 LVX589844:LVX589846 MFT589844:MFT589846 MPP589844:MPP589846 MZL589844:MZL589846 NJH589844:NJH589846 NTD589844:NTD589846 OCZ589844:OCZ589846 OMV589844:OMV589846 OWR589844:OWR589846 PGN589844:PGN589846 PQJ589844:PQJ589846 QAF589844:QAF589846 QKB589844:QKB589846 QTX589844:QTX589846 RDT589844:RDT589846 RNP589844:RNP589846 RXL589844:RXL589846 SHH589844:SHH589846 SRD589844:SRD589846 TAZ589844:TAZ589846 TKV589844:TKV589846 TUR589844:TUR589846 UEN589844:UEN589846 UOJ589844:UOJ589846 UYF589844:UYF589846 VIB589844:VIB589846 VRX589844:VRX589846 WBT589844:WBT589846 WLP589844:WLP589846 WVL589844:WVL589846 D655380:D655382 IZ655380:IZ655382 SV655380:SV655382 ACR655380:ACR655382 AMN655380:AMN655382 AWJ655380:AWJ655382 BGF655380:BGF655382 BQB655380:BQB655382 BZX655380:BZX655382 CJT655380:CJT655382 CTP655380:CTP655382 DDL655380:DDL655382 DNH655380:DNH655382 DXD655380:DXD655382 EGZ655380:EGZ655382 EQV655380:EQV655382 FAR655380:FAR655382 FKN655380:FKN655382 FUJ655380:FUJ655382 GEF655380:GEF655382 GOB655380:GOB655382 GXX655380:GXX655382 HHT655380:HHT655382 HRP655380:HRP655382 IBL655380:IBL655382 ILH655380:ILH655382 IVD655380:IVD655382 JEZ655380:JEZ655382 JOV655380:JOV655382 JYR655380:JYR655382 KIN655380:KIN655382 KSJ655380:KSJ655382 LCF655380:LCF655382 LMB655380:LMB655382 LVX655380:LVX655382 MFT655380:MFT655382 MPP655380:MPP655382 MZL655380:MZL655382 NJH655380:NJH655382 NTD655380:NTD655382 OCZ655380:OCZ655382 OMV655380:OMV655382 OWR655380:OWR655382 PGN655380:PGN655382 PQJ655380:PQJ655382 QAF655380:QAF655382 QKB655380:QKB655382 QTX655380:QTX655382 RDT655380:RDT655382 RNP655380:RNP655382 RXL655380:RXL655382 SHH655380:SHH655382 SRD655380:SRD655382 TAZ655380:TAZ655382 TKV655380:TKV655382 TUR655380:TUR655382 UEN655380:UEN655382 UOJ655380:UOJ655382 UYF655380:UYF655382 VIB655380:VIB655382 VRX655380:VRX655382 WBT655380:WBT655382 WLP655380:WLP655382 WVL655380:WVL655382 D720916:D720918 IZ720916:IZ720918 SV720916:SV720918 ACR720916:ACR720918 AMN720916:AMN720918 AWJ720916:AWJ720918 BGF720916:BGF720918 BQB720916:BQB720918 BZX720916:BZX720918 CJT720916:CJT720918 CTP720916:CTP720918 DDL720916:DDL720918 DNH720916:DNH720918 DXD720916:DXD720918 EGZ720916:EGZ720918 EQV720916:EQV720918 FAR720916:FAR720918 FKN720916:FKN720918 FUJ720916:FUJ720918 GEF720916:GEF720918 GOB720916:GOB720918 GXX720916:GXX720918 HHT720916:HHT720918 HRP720916:HRP720918 IBL720916:IBL720918 ILH720916:ILH720918 IVD720916:IVD720918 JEZ720916:JEZ720918 JOV720916:JOV720918 JYR720916:JYR720918 KIN720916:KIN720918 KSJ720916:KSJ720918 LCF720916:LCF720918 LMB720916:LMB720918 LVX720916:LVX720918 MFT720916:MFT720918 MPP720916:MPP720918 MZL720916:MZL720918 NJH720916:NJH720918 NTD720916:NTD720918 OCZ720916:OCZ720918 OMV720916:OMV720918 OWR720916:OWR720918 PGN720916:PGN720918 PQJ720916:PQJ720918 QAF720916:QAF720918 QKB720916:QKB720918 QTX720916:QTX720918 RDT720916:RDT720918 RNP720916:RNP720918 RXL720916:RXL720918 SHH720916:SHH720918 SRD720916:SRD720918 TAZ720916:TAZ720918 TKV720916:TKV720918 TUR720916:TUR720918 UEN720916:UEN720918 UOJ720916:UOJ720918 UYF720916:UYF720918 VIB720916:VIB720918 VRX720916:VRX720918 WBT720916:WBT720918 WLP720916:WLP720918 WVL720916:WVL720918 D786452:D786454 IZ786452:IZ786454 SV786452:SV786454 ACR786452:ACR786454 AMN786452:AMN786454 AWJ786452:AWJ786454 BGF786452:BGF786454 BQB786452:BQB786454 BZX786452:BZX786454 CJT786452:CJT786454 CTP786452:CTP786454 DDL786452:DDL786454 DNH786452:DNH786454 DXD786452:DXD786454 EGZ786452:EGZ786454 EQV786452:EQV786454 FAR786452:FAR786454 FKN786452:FKN786454 FUJ786452:FUJ786454 GEF786452:GEF786454 GOB786452:GOB786454 GXX786452:GXX786454 HHT786452:HHT786454 HRP786452:HRP786454 IBL786452:IBL786454 ILH786452:ILH786454 IVD786452:IVD786454 JEZ786452:JEZ786454 JOV786452:JOV786454 JYR786452:JYR786454 KIN786452:KIN786454 KSJ786452:KSJ786454 LCF786452:LCF786454 LMB786452:LMB786454 LVX786452:LVX786454 MFT786452:MFT786454 MPP786452:MPP786454 MZL786452:MZL786454 NJH786452:NJH786454 NTD786452:NTD786454 OCZ786452:OCZ786454 OMV786452:OMV786454 OWR786452:OWR786454 PGN786452:PGN786454 PQJ786452:PQJ786454 QAF786452:QAF786454 QKB786452:QKB786454 QTX786452:QTX786454 RDT786452:RDT786454 RNP786452:RNP786454 RXL786452:RXL786454 SHH786452:SHH786454 SRD786452:SRD786454 TAZ786452:TAZ786454 TKV786452:TKV786454 TUR786452:TUR786454 UEN786452:UEN786454 UOJ786452:UOJ786454 UYF786452:UYF786454 VIB786452:VIB786454 VRX786452:VRX786454 WBT786452:WBT786454 WLP786452:WLP786454 WVL786452:WVL786454 D851988:D851990 IZ851988:IZ851990 SV851988:SV851990 ACR851988:ACR851990 AMN851988:AMN851990 AWJ851988:AWJ851990 BGF851988:BGF851990 BQB851988:BQB851990 BZX851988:BZX851990 CJT851988:CJT851990 CTP851988:CTP851990 DDL851988:DDL851990 DNH851988:DNH851990 DXD851988:DXD851990 EGZ851988:EGZ851990 EQV851988:EQV851990 FAR851988:FAR851990 FKN851988:FKN851990 FUJ851988:FUJ851990 GEF851988:GEF851990 GOB851988:GOB851990 GXX851988:GXX851990 HHT851988:HHT851990 HRP851988:HRP851990 IBL851988:IBL851990 ILH851988:ILH851990 IVD851988:IVD851990 JEZ851988:JEZ851990 JOV851988:JOV851990 JYR851988:JYR851990 KIN851988:KIN851990 KSJ851988:KSJ851990 LCF851988:LCF851990 LMB851988:LMB851990 LVX851988:LVX851990 MFT851988:MFT851990 MPP851988:MPP851990 MZL851988:MZL851990 NJH851988:NJH851990 NTD851988:NTD851990 OCZ851988:OCZ851990 OMV851988:OMV851990 OWR851988:OWR851990 PGN851988:PGN851990 PQJ851988:PQJ851990 QAF851988:QAF851990 QKB851988:QKB851990 QTX851988:QTX851990 RDT851988:RDT851990 RNP851988:RNP851990 RXL851988:RXL851990 SHH851988:SHH851990 SRD851988:SRD851990 TAZ851988:TAZ851990 TKV851988:TKV851990 TUR851988:TUR851990 UEN851988:UEN851990 UOJ851988:UOJ851990 UYF851988:UYF851990 VIB851988:VIB851990 VRX851988:VRX851990 WBT851988:WBT851990 WLP851988:WLP851990 WVL851988:WVL851990 D917524:D917526 IZ917524:IZ917526 SV917524:SV917526 ACR917524:ACR917526 AMN917524:AMN917526 AWJ917524:AWJ917526 BGF917524:BGF917526 BQB917524:BQB917526 BZX917524:BZX917526 CJT917524:CJT917526 CTP917524:CTP917526 DDL917524:DDL917526 DNH917524:DNH917526 DXD917524:DXD917526 EGZ917524:EGZ917526 EQV917524:EQV917526 FAR917524:FAR917526 FKN917524:FKN917526 FUJ917524:FUJ917526 GEF917524:GEF917526 GOB917524:GOB917526 GXX917524:GXX917526 HHT917524:HHT917526 HRP917524:HRP917526 IBL917524:IBL917526 ILH917524:ILH917526 IVD917524:IVD917526 JEZ917524:JEZ917526 JOV917524:JOV917526 JYR917524:JYR917526 KIN917524:KIN917526 KSJ917524:KSJ917526 LCF917524:LCF917526 LMB917524:LMB917526 LVX917524:LVX917526 MFT917524:MFT917526 MPP917524:MPP917526 MZL917524:MZL917526 NJH917524:NJH917526 NTD917524:NTD917526 OCZ917524:OCZ917526 OMV917524:OMV917526 OWR917524:OWR917526 PGN917524:PGN917526 PQJ917524:PQJ917526 QAF917524:QAF917526 QKB917524:QKB917526 QTX917524:QTX917526 RDT917524:RDT917526 RNP917524:RNP917526 RXL917524:RXL917526 SHH917524:SHH917526 SRD917524:SRD917526 TAZ917524:TAZ917526 TKV917524:TKV917526 TUR917524:TUR917526 UEN917524:UEN917526 UOJ917524:UOJ917526 UYF917524:UYF917526 VIB917524:VIB917526 VRX917524:VRX917526 WBT917524:WBT917526 WLP917524:WLP917526 WVL917524:WVL917526 D983060:D983062 IZ983060:IZ983062 SV983060:SV983062 ACR983060:ACR983062 AMN983060:AMN983062 AWJ983060:AWJ983062 BGF983060:BGF983062 BQB983060:BQB983062 BZX983060:BZX983062 CJT983060:CJT983062 CTP983060:CTP983062 DDL983060:DDL983062 DNH983060:DNH983062 DXD983060:DXD983062 EGZ983060:EGZ983062 EQV983060:EQV983062 FAR983060:FAR983062 FKN983060:FKN983062 FUJ983060:FUJ983062 GEF983060:GEF983062 GOB983060:GOB983062 GXX983060:GXX983062 HHT983060:HHT983062 HRP983060:HRP983062 IBL983060:IBL983062 ILH983060:ILH983062 IVD983060:IVD983062 JEZ983060:JEZ983062 JOV983060:JOV983062 JYR983060:JYR983062 KIN983060:KIN983062 KSJ983060:KSJ983062 LCF983060:LCF983062 LMB983060:LMB983062 LVX983060:LVX983062 MFT983060:MFT983062 MPP983060:MPP983062 MZL983060:MZL983062 NJH983060:NJH983062 NTD983060:NTD983062 OCZ983060:OCZ983062 OMV983060:OMV983062 OWR983060:OWR983062 PGN983060:PGN983062 PQJ983060:PQJ983062 QAF983060:QAF983062 QKB983060:QKB983062 QTX983060:QTX983062 RDT983060:RDT983062 RNP983060:RNP983062 RXL983060:RXL983062 SHH983060:SHH983062 SRD983060:SRD983062 TAZ983060:TAZ983062 TKV983060:TKV983062 TUR983060:TUR983062 UEN983060:UEN983062 UOJ983060:UOJ983062 UYF983060:UYF983062 VIB983060:VIB983062 VRX983060:VRX983062 WBT983060:WBT983062 WLP983060:WLP983062 WVL983060:WVL983062 E15:E17 JA15:JA17 SW15:SW17 ACS15:ACS17 AMO15:AMO17 AWK15:AWK17 BGG15:BGG17 BQC15:BQC17 BZY15:BZY17 CJU15:CJU17 CTQ15:CTQ17 DDM15:DDM17 DNI15:DNI17 DXE15:DXE17 EHA15:EHA17 EQW15:EQW17 FAS15:FAS17 FKO15:FKO17 FUK15:FUK17 GEG15:GEG17 GOC15:GOC17 GXY15:GXY17 HHU15:HHU17 HRQ15:HRQ17 IBM15:IBM17 ILI15:ILI17 IVE15:IVE17 JFA15:JFA17 JOW15:JOW17 JYS15:JYS17 KIO15:KIO17 KSK15:KSK17 LCG15:LCG17 LMC15:LMC17 LVY15:LVY17 MFU15:MFU17 MPQ15:MPQ17 MZM15:MZM17 NJI15:NJI17 NTE15:NTE17 ODA15:ODA17 OMW15:OMW17 OWS15:OWS17 PGO15:PGO17 PQK15:PQK17 QAG15:QAG17 QKC15:QKC17 QTY15:QTY17 RDU15:RDU17 RNQ15:RNQ17 RXM15:RXM17 SHI15:SHI17 SRE15:SRE17 TBA15:TBA17 TKW15:TKW17 TUS15:TUS17 UEO15:UEO17 UOK15:UOK17 UYG15:UYG17 VIC15:VIC17 VRY15:VRY17 WBU15:WBU17 WLQ15:WLQ17 WVM15:WVM17 E65553:E65555 JA65553:JA65555 SW65553:SW65555 ACS65553:ACS65555 AMO65553:AMO65555 AWK65553:AWK65555 BGG65553:BGG65555 BQC65553:BQC65555 BZY65553:BZY65555 CJU65553:CJU65555 CTQ65553:CTQ65555 DDM65553:DDM65555 DNI65553:DNI65555 DXE65553:DXE65555 EHA65553:EHA65555 EQW65553:EQW65555 FAS65553:FAS65555 FKO65553:FKO65555 FUK65553:FUK65555 GEG65553:GEG65555 GOC65553:GOC65555 GXY65553:GXY65555 HHU65553:HHU65555 HRQ65553:HRQ65555 IBM65553:IBM65555 ILI65553:ILI65555 IVE65553:IVE65555 JFA65553:JFA65555 JOW65553:JOW65555 JYS65553:JYS65555 KIO65553:KIO65555 KSK65553:KSK65555 LCG65553:LCG65555 LMC65553:LMC65555 LVY65553:LVY65555 MFU65553:MFU65555 MPQ65553:MPQ65555 MZM65553:MZM65555 NJI65553:NJI65555 NTE65553:NTE65555 ODA65553:ODA65555 OMW65553:OMW65555 OWS65553:OWS65555 PGO65553:PGO65555 PQK65553:PQK65555 QAG65553:QAG65555 QKC65553:QKC65555 QTY65553:QTY65555 RDU65553:RDU65555 RNQ65553:RNQ65555 RXM65553:RXM65555 SHI65553:SHI65555 SRE65553:SRE65555 TBA65553:TBA65555 TKW65553:TKW65555 TUS65553:TUS65555 UEO65553:UEO65555 UOK65553:UOK65555 UYG65553:UYG65555 VIC65553:VIC65555 VRY65553:VRY65555 WBU65553:WBU65555 WLQ65553:WLQ65555 WVM65553:WVM65555 E131089:E131091 JA131089:JA131091 SW131089:SW131091 ACS131089:ACS131091 AMO131089:AMO131091 AWK131089:AWK131091 BGG131089:BGG131091 BQC131089:BQC131091 BZY131089:BZY131091 CJU131089:CJU131091 CTQ131089:CTQ131091 DDM131089:DDM131091 DNI131089:DNI131091 DXE131089:DXE131091 EHA131089:EHA131091 EQW131089:EQW131091 FAS131089:FAS131091 FKO131089:FKO131091 FUK131089:FUK131091 GEG131089:GEG131091 GOC131089:GOC131091 GXY131089:GXY131091 HHU131089:HHU131091 HRQ131089:HRQ131091 IBM131089:IBM131091 ILI131089:ILI131091 IVE131089:IVE131091 JFA131089:JFA131091 JOW131089:JOW131091 JYS131089:JYS131091 KIO131089:KIO131091 KSK131089:KSK131091 LCG131089:LCG131091 LMC131089:LMC131091 LVY131089:LVY131091 MFU131089:MFU131091 MPQ131089:MPQ131091 MZM131089:MZM131091 NJI131089:NJI131091 NTE131089:NTE131091 ODA131089:ODA131091 OMW131089:OMW131091 OWS131089:OWS131091 PGO131089:PGO131091 PQK131089:PQK131091 QAG131089:QAG131091 QKC131089:QKC131091 QTY131089:QTY131091 RDU131089:RDU131091 RNQ131089:RNQ131091 RXM131089:RXM131091 SHI131089:SHI131091 SRE131089:SRE131091 TBA131089:TBA131091 TKW131089:TKW131091 TUS131089:TUS131091 UEO131089:UEO131091 UOK131089:UOK131091 UYG131089:UYG131091 VIC131089:VIC131091 VRY131089:VRY131091 WBU131089:WBU131091 WLQ131089:WLQ131091 WVM131089:WVM131091 E196625:E196627 JA196625:JA196627 SW196625:SW196627 ACS196625:ACS196627 AMO196625:AMO196627 AWK196625:AWK196627 BGG196625:BGG196627 BQC196625:BQC196627 BZY196625:BZY196627 CJU196625:CJU196627 CTQ196625:CTQ196627 DDM196625:DDM196627 DNI196625:DNI196627 DXE196625:DXE196627 EHA196625:EHA196627 EQW196625:EQW196627 FAS196625:FAS196627 FKO196625:FKO196627 FUK196625:FUK196627 GEG196625:GEG196627 GOC196625:GOC196627 GXY196625:GXY196627 HHU196625:HHU196627 HRQ196625:HRQ196627 IBM196625:IBM196627 ILI196625:ILI196627 IVE196625:IVE196627 JFA196625:JFA196627 JOW196625:JOW196627 JYS196625:JYS196627 KIO196625:KIO196627 KSK196625:KSK196627 LCG196625:LCG196627 LMC196625:LMC196627 LVY196625:LVY196627 MFU196625:MFU196627 MPQ196625:MPQ196627 MZM196625:MZM196627 NJI196625:NJI196627 NTE196625:NTE196627 ODA196625:ODA196627 OMW196625:OMW196627 OWS196625:OWS196627 PGO196625:PGO196627 PQK196625:PQK196627 QAG196625:QAG196627 QKC196625:QKC196627 QTY196625:QTY196627 RDU196625:RDU196627 RNQ196625:RNQ196627 RXM196625:RXM196627 SHI196625:SHI196627 SRE196625:SRE196627 TBA196625:TBA196627 TKW196625:TKW196627 TUS196625:TUS196627 UEO196625:UEO196627 UOK196625:UOK196627 UYG196625:UYG196627 VIC196625:VIC196627 VRY196625:VRY196627 WBU196625:WBU196627 WLQ196625:WLQ196627 WVM196625:WVM196627 E262161:E262163 JA262161:JA262163 SW262161:SW262163 ACS262161:ACS262163 AMO262161:AMO262163 AWK262161:AWK262163 BGG262161:BGG262163 BQC262161:BQC262163 BZY262161:BZY262163 CJU262161:CJU262163 CTQ262161:CTQ262163 DDM262161:DDM262163 DNI262161:DNI262163 DXE262161:DXE262163 EHA262161:EHA262163 EQW262161:EQW262163 FAS262161:FAS262163 FKO262161:FKO262163 FUK262161:FUK262163 GEG262161:GEG262163 GOC262161:GOC262163 GXY262161:GXY262163 HHU262161:HHU262163 HRQ262161:HRQ262163 IBM262161:IBM262163 ILI262161:ILI262163 IVE262161:IVE262163 JFA262161:JFA262163 JOW262161:JOW262163 JYS262161:JYS262163 KIO262161:KIO262163 KSK262161:KSK262163 LCG262161:LCG262163 LMC262161:LMC262163 LVY262161:LVY262163 MFU262161:MFU262163 MPQ262161:MPQ262163 MZM262161:MZM262163 NJI262161:NJI262163 NTE262161:NTE262163 ODA262161:ODA262163 OMW262161:OMW262163 OWS262161:OWS262163 PGO262161:PGO262163 PQK262161:PQK262163 QAG262161:QAG262163 QKC262161:QKC262163 QTY262161:QTY262163 RDU262161:RDU262163 RNQ262161:RNQ262163 RXM262161:RXM262163 SHI262161:SHI262163 SRE262161:SRE262163 TBA262161:TBA262163 TKW262161:TKW262163 TUS262161:TUS262163 UEO262161:UEO262163 UOK262161:UOK262163 UYG262161:UYG262163 VIC262161:VIC262163 VRY262161:VRY262163 WBU262161:WBU262163 WLQ262161:WLQ262163 WVM262161:WVM262163 E327697:E327699 JA327697:JA327699 SW327697:SW327699 ACS327697:ACS327699 AMO327697:AMO327699 AWK327697:AWK327699 BGG327697:BGG327699 BQC327697:BQC327699 BZY327697:BZY327699 CJU327697:CJU327699 CTQ327697:CTQ327699 DDM327697:DDM327699 DNI327697:DNI327699 DXE327697:DXE327699 EHA327697:EHA327699 EQW327697:EQW327699 FAS327697:FAS327699 FKO327697:FKO327699 FUK327697:FUK327699 GEG327697:GEG327699 GOC327697:GOC327699 GXY327697:GXY327699 HHU327697:HHU327699 HRQ327697:HRQ327699 IBM327697:IBM327699 ILI327697:ILI327699 IVE327697:IVE327699 JFA327697:JFA327699 JOW327697:JOW327699 JYS327697:JYS327699 KIO327697:KIO327699 KSK327697:KSK327699 LCG327697:LCG327699 LMC327697:LMC327699 LVY327697:LVY327699 MFU327697:MFU327699 MPQ327697:MPQ327699 MZM327697:MZM327699 NJI327697:NJI327699 NTE327697:NTE327699 ODA327697:ODA327699 OMW327697:OMW327699 OWS327697:OWS327699 PGO327697:PGO327699 PQK327697:PQK327699 QAG327697:QAG327699 QKC327697:QKC327699 QTY327697:QTY327699 RDU327697:RDU327699 RNQ327697:RNQ327699 RXM327697:RXM327699 SHI327697:SHI327699 SRE327697:SRE327699 TBA327697:TBA327699 TKW327697:TKW327699 TUS327697:TUS327699 UEO327697:UEO327699 UOK327697:UOK327699 UYG327697:UYG327699 VIC327697:VIC327699 VRY327697:VRY327699 WBU327697:WBU327699 WLQ327697:WLQ327699 WVM327697:WVM327699 E393233:E393235 JA393233:JA393235 SW393233:SW393235 ACS393233:ACS393235 AMO393233:AMO393235 AWK393233:AWK393235 BGG393233:BGG393235 BQC393233:BQC393235 BZY393233:BZY393235 CJU393233:CJU393235 CTQ393233:CTQ393235 DDM393233:DDM393235 DNI393233:DNI393235 DXE393233:DXE393235 EHA393233:EHA393235 EQW393233:EQW393235 FAS393233:FAS393235 FKO393233:FKO393235 FUK393233:FUK393235 GEG393233:GEG393235 GOC393233:GOC393235 GXY393233:GXY393235 HHU393233:HHU393235 HRQ393233:HRQ393235 IBM393233:IBM393235 ILI393233:ILI393235 IVE393233:IVE393235 JFA393233:JFA393235 JOW393233:JOW393235 JYS393233:JYS393235 KIO393233:KIO393235 KSK393233:KSK393235 LCG393233:LCG393235 LMC393233:LMC393235 LVY393233:LVY393235 MFU393233:MFU393235 MPQ393233:MPQ393235 MZM393233:MZM393235 NJI393233:NJI393235 NTE393233:NTE393235 ODA393233:ODA393235 OMW393233:OMW393235 OWS393233:OWS393235 PGO393233:PGO393235 PQK393233:PQK393235 QAG393233:QAG393235 QKC393233:QKC393235 QTY393233:QTY393235 RDU393233:RDU393235 RNQ393233:RNQ393235 RXM393233:RXM393235 SHI393233:SHI393235 SRE393233:SRE393235 TBA393233:TBA393235 TKW393233:TKW393235 TUS393233:TUS393235 UEO393233:UEO393235 UOK393233:UOK393235 UYG393233:UYG393235 VIC393233:VIC393235 VRY393233:VRY393235 WBU393233:WBU393235 WLQ393233:WLQ393235 WVM393233:WVM393235 E458769:E458771 JA458769:JA458771 SW458769:SW458771 ACS458769:ACS458771 AMO458769:AMO458771 AWK458769:AWK458771 BGG458769:BGG458771 BQC458769:BQC458771 BZY458769:BZY458771 CJU458769:CJU458771 CTQ458769:CTQ458771 DDM458769:DDM458771 DNI458769:DNI458771 DXE458769:DXE458771 EHA458769:EHA458771 EQW458769:EQW458771 FAS458769:FAS458771 FKO458769:FKO458771 FUK458769:FUK458771 GEG458769:GEG458771 GOC458769:GOC458771 GXY458769:GXY458771 HHU458769:HHU458771 HRQ458769:HRQ458771 IBM458769:IBM458771 ILI458769:ILI458771 IVE458769:IVE458771 JFA458769:JFA458771 JOW458769:JOW458771 JYS458769:JYS458771 KIO458769:KIO458771 KSK458769:KSK458771 LCG458769:LCG458771 LMC458769:LMC458771 LVY458769:LVY458771 MFU458769:MFU458771 MPQ458769:MPQ458771 MZM458769:MZM458771 NJI458769:NJI458771 NTE458769:NTE458771 ODA458769:ODA458771 OMW458769:OMW458771 OWS458769:OWS458771 PGO458769:PGO458771 PQK458769:PQK458771 QAG458769:QAG458771 QKC458769:QKC458771 QTY458769:QTY458771 RDU458769:RDU458771 RNQ458769:RNQ458771 RXM458769:RXM458771 SHI458769:SHI458771 SRE458769:SRE458771 TBA458769:TBA458771 TKW458769:TKW458771 TUS458769:TUS458771 UEO458769:UEO458771 UOK458769:UOK458771 UYG458769:UYG458771 VIC458769:VIC458771 VRY458769:VRY458771 WBU458769:WBU458771 WLQ458769:WLQ458771 WVM458769:WVM458771 E524305:E524307 JA524305:JA524307 SW524305:SW524307 ACS524305:ACS524307 AMO524305:AMO524307 AWK524305:AWK524307 BGG524305:BGG524307 BQC524305:BQC524307 BZY524305:BZY524307 CJU524305:CJU524307 CTQ524305:CTQ524307 DDM524305:DDM524307 DNI524305:DNI524307 DXE524305:DXE524307 EHA524305:EHA524307 EQW524305:EQW524307 FAS524305:FAS524307 FKO524305:FKO524307 FUK524305:FUK524307 GEG524305:GEG524307 GOC524305:GOC524307 GXY524305:GXY524307 HHU524305:HHU524307 HRQ524305:HRQ524307 IBM524305:IBM524307 ILI524305:ILI524307 IVE524305:IVE524307 JFA524305:JFA524307 JOW524305:JOW524307 JYS524305:JYS524307 KIO524305:KIO524307 KSK524305:KSK524307 LCG524305:LCG524307 LMC524305:LMC524307 LVY524305:LVY524307 MFU524305:MFU524307 MPQ524305:MPQ524307 MZM524305:MZM524307 NJI524305:NJI524307 NTE524305:NTE524307 ODA524305:ODA524307 OMW524305:OMW524307 OWS524305:OWS524307 PGO524305:PGO524307 PQK524305:PQK524307 QAG524305:QAG524307 QKC524305:QKC524307 QTY524305:QTY524307 RDU524305:RDU524307 RNQ524305:RNQ524307 RXM524305:RXM524307 SHI524305:SHI524307 SRE524305:SRE524307 TBA524305:TBA524307 TKW524305:TKW524307 TUS524305:TUS524307 UEO524305:UEO524307 UOK524305:UOK524307 UYG524305:UYG524307 VIC524305:VIC524307 VRY524305:VRY524307 WBU524305:WBU524307 WLQ524305:WLQ524307 WVM524305:WVM524307 E589841:E589843 JA589841:JA589843 SW589841:SW589843 ACS589841:ACS589843 AMO589841:AMO589843 AWK589841:AWK589843 BGG589841:BGG589843 BQC589841:BQC589843 BZY589841:BZY589843 CJU589841:CJU589843 CTQ589841:CTQ589843 DDM589841:DDM589843 DNI589841:DNI589843 DXE589841:DXE589843 EHA589841:EHA589843 EQW589841:EQW589843 FAS589841:FAS589843 FKO589841:FKO589843 FUK589841:FUK589843 GEG589841:GEG589843 GOC589841:GOC589843 GXY589841:GXY589843 HHU589841:HHU589843 HRQ589841:HRQ589843 IBM589841:IBM589843 ILI589841:ILI589843 IVE589841:IVE589843 JFA589841:JFA589843 JOW589841:JOW589843 JYS589841:JYS589843 KIO589841:KIO589843 KSK589841:KSK589843 LCG589841:LCG589843 LMC589841:LMC589843 LVY589841:LVY589843 MFU589841:MFU589843 MPQ589841:MPQ589843 MZM589841:MZM589843 NJI589841:NJI589843 NTE589841:NTE589843 ODA589841:ODA589843 OMW589841:OMW589843 OWS589841:OWS589843 PGO589841:PGO589843 PQK589841:PQK589843 QAG589841:QAG589843 QKC589841:QKC589843 QTY589841:QTY589843 RDU589841:RDU589843 RNQ589841:RNQ589843 RXM589841:RXM589843 SHI589841:SHI589843 SRE589841:SRE589843 TBA589841:TBA589843 TKW589841:TKW589843 TUS589841:TUS589843 UEO589841:UEO589843 UOK589841:UOK589843 UYG589841:UYG589843 VIC589841:VIC589843 VRY589841:VRY589843 WBU589841:WBU589843 WLQ589841:WLQ589843 WVM589841:WVM589843 E655377:E655379 JA655377:JA655379 SW655377:SW655379 ACS655377:ACS655379 AMO655377:AMO655379 AWK655377:AWK655379 BGG655377:BGG655379 BQC655377:BQC655379 BZY655377:BZY655379 CJU655377:CJU655379 CTQ655377:CTQ655379 DDM655377:DDM655379 DNI655377:DNI655379 DXE655377:DXE655379 EHA655377:EHA655379 EQW655377:EQW655379 FAS655377:FAS655379 FKO655377:FKO655379 FUK655377:FUK655379 GEG655377:GEG655379 GOC655377:GOC655379 GXY655377:GXY655379 HHU655377:HHU655379 HRQ655377:HRQ655379 IBM655377:IBM655379 ILI655377:ILI655379 IVE655377:IVE655379 JFA655377:JFA655379 JOW655377:JOW655379 JYS655377:JYS655379 KIO655377:KIO655379 KSK655377:KSK655379 LCG655377:LCG655379 LMC655377:LMC655379 LVY655377:LVY655379 MFU655377:MFU655379 MPQ655377:MPQ655379 MZM655377:MZM655379 NJI655377:NJI655379 NTE655377:NTE655379 ODA655377:ODA655379 OMW655377:OMW655379 OWS655377:OWS655379 PGO655377:PGO655379 PQK655377:PQK655379 QAG655377:QAG655379 QKC655377:QKC655379 QTY655377:QTY655379 RDU655377:RDU655379 RNQ655377:RNQ655379 RXM655377:RXM655379 SHI655377:SHI655379 SRE655377:SRE655379 TBA655377:TBA655379 TKW655377:TKW655379 TUS655377:TUS655379 UEO655377:UEO655379 UOK655377:UOK655379 UYG655377:UYG655379 VIC655377:VIC655379 VRY655377:VRY655379 WBU655377:WBU655379 WLQ655377:WLQ655379 WVM655377:WVM655379 E720913:E720915 JA720913:JA720915 SW720913:SW720915 ACS720913:ACS720915 AMO720913:AMO720915 AWK720913:AWK720915 BGG720913:BGG720915 BQC720913:BQC720915 BZY720913:BZY720915 CJU720913:CJU720915 CTQ720913:CTQ720915 DDM720913:DDM720915 DNI720913:DNI720915 DXE720913:DXE720915 EHA720913:EHA720915 EQW720913:EQW720915 FAS720913:FAS720915 FKO720913:FKO720915 FUK720913:FUK720915 GEG720913:GEG720915 GOC720913:GOC720915 GXY720913:GXY720915 HHU720913:HHU720915 HRQ720913:HRQ720915 IBM720913:IBM720915 ILI720913:ILI720915 IVE720913:IVE720915 JFA720913:JFA720915 JOW720913:JOW720915 JYS720913:JYS720915 KIO720913:KIO720915 KSK720913:KSK720915 LCG720913:LCG720915 LMC720913:LMC720915 LVY720913:LVY720915 MFU720913:MFU720915 MPQ720913:MPQ720915 MZM720913:MZM720915 NJI720913:NJI720915 NTE720913:NTE720915 ODA720913:ODA720915 OMW720913:OMW720915 OWS720913:OWS720915 PGO720913:PGO720915 PQK720913:PQK720915 QAG720913:QAG720915 QKC720913:QKC720915 QTY720913:QTY720915 RDU720913:RDU720915 RNQ720913:RNQ720915 RXM720913:RXM720915 SHI720913:SHI720915 SRE720913:SRE720915 TBA720913:TBA720915 TKW720913:TKW720915 TUS720913:TUS720915 UEO720913:UEO720915 UOK720913:UOK720915 UYG720913:UYG720915 VIC720913:VIC720915 VRY720913:VRY720915 WBU720913:WBU720915 WLQ720913:WLQ720915 WVM720913:WVM720915 E786449:E786451 JA786449:JA786451 SW786449:SW786451 ACS786449:ACS786451 AMO786449:AMO786451 AWK786449:AWK786451 BGG786449:BGG786451 BQC786449:BQC786451 BZY786449:BZY786451 CJU786449:CJU786451 CTQ786449:CTQ786451 DDM786449:DDM786451 DNI786449:DNI786451 DXE786449:DXE786451 EHA786449:EHA786451 EQW786449:EQW786451 FAS786449:FAS786451 FKO786449:FKO786451 FUK786449:FUK786451 GEG786449:GEG786451 GOC786449:GOC786451 GXY786449:GXY786451 HHU786449:HHU786451 HRQ786449:HRQ786451 IBM786449:IBM786451 ILI786449:ILI786451 IVE786449:IVE786451 JFA786449:JFA786451 JOW786449:JOW786451 JYS786449:JYS786451 KIO786449:KIO786451 KSK786449:KSK786451 LCG786449:LCG786451 LMC786449:LMC786451 LVY786449:LVY786451 MFU786449:MFU786451 MPQ786449:MPQ786451 MZM786449:MZM786451 NJI786449:NJI786451 NTE786449:NTE786451 ODA786449:ODA786451 OMW786449:OMW786451 OWS786449:OWS786451 PGO786449:PGO786451 PQK786449:PQK786451 QAG786449:QAG786451 QKC786449:QKC786451 QTY786449:QTY786451 RDU786449:RDU786451 RNQ786449:RNQ786451 RXM786449:RXM786451 SHI786449:SHI786451 SRE786449:SRE786451 TBA786449:TBA786451 TKW786449:TKW786451 TUS786449:TUS786451 UEO786449:UEO786451 UOK786449:UOK786451 UYG786449:UYG786451 VIC786449:VIC786451 VRY786449:VRY786451 WBU786449:WBU786451 WLQ786449:WLQ786451 WVM786449:WVM786451 E851985:E851987 JA851985:JA851987 SW851985:SW851987 ACS851985:ACS851987 AMO851985:AMO851987 AWK851985:AWK851987 BGG851985:BGG851987 BQC851985:BQC851987 BZY851985:BZY851987 CJU851985:CJU851987 CTQ851985:CTQ851987 DDM851985:DDM851987 DNI851985:DNI851987 DXE851985:DXE851987 EHA851985:EHA851987 EQW851985:EQW851987 FAS851985:FAS851987 FKO851985:FKO851987 FUK851985:FUK851987 GEG851985:GEG851987 GOC851985:GOC851987 GXY851985:GXY851987 HHU851985:HHU851987 HRQ851985:HRQ851987 IBM851985:IBM851987 ILI851985:ILI851987 IVE851985:IVE851987 JFA851985:JFA851987 JOW851985:JOW851987 JYS851985:JYS851987 KIO851985:KIO851987 KSK851985:KSK851987 LCG851985:LCG851987 LMC851985:LMC851987 LVY851985:LVY851987 MFU851985:MFU851987 MPQ851985:MPQ851987 MZM851985:MZM851987 NJI851985:NJI851987 NTE851985:NTE851987 ODA851985:ODA851987 OMW851985:OMW851987 OWS851985:OWS851987 PGO851985:PGO851987 PQK851985:PQK851987 QAG851985:QAG851987 QKC851985:QKC851987 QTY851985:QTY851987 RDU851985:RDU851987 RNQ851985:RNQ851987 RXM851985:RXM851987 SHI851985:SHI851987 SRE851985:SRE851987 TBA851985:TBA851987 TKW851985:TKW851987 TUS851985:TUS851987 UEO851985:UEO851987 UOK851985:UOK851987 UYG851985:UYG851987 VIC851985:VIC851987 VRY851985:VRY851987 WBU851985:WBU851987 WLQ851985:WLQ851987 WVM851985:WVM851987 E917521:E917523 JA917521:JA917523 SW917521:SW917523 ACS917521:ACS917523 AMO917521:AMO917523 AWK917521:AWK917523 BGG917521:BGG917523 BQC917521:BQC917523 BZY917521:BZY917523 CJU917521:CJU917523 CTQ917521:CTQ917523 DDM917521:DDM917523 DNI917521:DNI917523 DXE917521:DXE917523 EHA917521:EHA917523 EQW917521:EQW917523 FAS917521:FAS917523 FKO917521:FKO917523 FUK917521:FUK917523 GEG917521:GEG917523 GOC917521:GOC917523 GXY917521:GXY917523 HHU917521:HHU917523 HRQ917521:HRQ917523 IBM917521:IBM917523 ILI917521:ILI917523 IVE917521:IVE917523 JFA917521:JFA917523 JOW917521:JOW917523 JYS917521:JYS917523 KIO917521:KIO917523 KSK917521:KSK917523 LCG917521:LCG917523 LMC917521:LMC917523 LVY917521:LVY917523 MFU917521:MFU917523 MPQ917521:MPQ917523 MZM917521:MZM917523 NJI917521:NJI917523 NTE917521:NTE917523 ODA917521:ODA917523 OMW917521:OMW917523 OWS917521:OWS917523 PGO917521:PGO917523 PQK917521:PQK917523 QAG917521:QAG917523 QKC917521:QKC917523 QTY917521:QTY917523 RDU917521:RDU917523 RNQ917521:RNQ917523 RXM917521:RXM917523 SHI917521:SHI917523 SRE917521:SRE917523 TBA917521:TBA917523 TKW917521:TKW917523 TUS917521:TUS917523 UEO917521:UEO917523 UOK917521:UOK917523 UYG917521:UYG917523 VIC917521:VIC917523 VRY917521:VRY917523 WBU917521:WBU917523 WLQ917521:WLQ917523 WVM917521:WVM917523 E983057:E983059 JA983057:JA983059 SW983057:SW983059 ACS983057:ACS983059 AMO983057:AMO983059 AWK983057:AWK983059 BGG983057:BGG983059 BQC983057:BQC983059 BZY983057:BZY983059 CJU983057:CJU983059 CTQ983057:CTQ983059 DDM983057:DDM983059 DNI983057:DNI983059 DXE983057:DXE983059 EHA983057:EHA983059 EQW983057:EQW983059 FAS983057:FAS983059 FKO983057:FKO983059 FUK983057:FUK983059 GEG983057:GEG983059 GOC983057:GOC983059 GXY983057:GXY983059 HHU983057:HHU983059 HRQ983057:HRQ983059 IBM983057:IBM983059 ILI983057:ILI983059 IVE983057:IVE983059 JFA983057:JFA983059 JOW983057:JOW983059 JYS983057:JYS983059 KIO983057:KIO983059 KSK983057:KSK983059 LCG983057:LCG983059 LMC983057:LMC983059 LVY983057:LVY983059 MFU983057:MFU983059 MPQ983057:MPQ983059 MZM983057:MZM983059 NJI983057:NJI983059 NTE983057:NTE983059 ODA983057:ODA983059 OMW983057:OMW983059 OWS983057:OWS983059 PGO983057:PGO983059 PQK983057:PQK983059 QAG983057:QAG983059 QKC983057:QKC983059 QTY983057:QTY983059 RDU983057:RDU983059 RNQ983057:RNQ983059 RXM983057:RXM983059 SHI983057:SHI983059 SRE983057:SRE983059 TBA983057:TBA983059 TKW983057:TKW983059 TUS983057:TUS983059 UEO983057:UEO983059 UOK983057:UOK983059 UYG983057:UYG983059 VIC983057:VIC983059 VRY983057:VRY983059 WBU983057:WBU983059 WLQ983057:WLQ983059 WVM983057:WVM983059 WVL983048:WVL983054 IZ6:IZ12 SV6:SV12 ACR6:ACR12 AMN6:AMN12 AWJ6:AWJ12 BGF6:BGF12 BQB6:BQB12 BZX6:BZX12 CJT6:CJT12 CTP6:CTP12 DDL6:DDL12 DNH6:DNH12 DXD6:DXD12 EGZ6:EGZ12 EQV6:EQV12 FAR6:FAR12 FKN6:FKN12 FUJ6:FUJ12 GEF6:GEF12 GOB6:GOB12 GXX6:GXX12 HHT6:HHT12 HRP6:HRP12 IBL6:IBL12 ILH6:ILH12 IVD6:IVD12 JEZ6:JEZ12 JOV6:JOV12 JYR6:JYR12 KIN6:KIN12 KSJ6:KSJ12 LCF6:LCF12 LMB6:LMB12 LVX6:LVX12 MFT6:MFT12 MPP6:MPP12 MZL6:MZL12 NJH6:NJH12 NTD6:NTD12 OCZ6:OCZ12 OMV6:OMV12 OWR6:OWR12 PGN6:PGN12 PQJ6:PQJ12 QAF6:QAF12 QKB6:QKB12 QTX6:QTX12 RDT6:RDT12 RNP6:RNP12 RXL6:RXL12 SHH6:SHH12 SRD6:SRD12 TAZ6:TAZ12 TKV6:TKV12 TUR6:TUR12 UEN6:UEN12 UOJ6:UOJ12 UYF6:UYF12 VIB6:VIB12 VRX6:VRX12 WBT6:WBT12 WLP6:WLP12 WVL6:WVL12 D65544:D65550 IZ65544:IZ65550 SV65544:SV65550 ACR65544:ACR65550 AMN65544:AMN65550 AWJ65544:AWJ65550 BGF65544:BGF65550 BQB65544:BQB65550 BZX65544:BZX65550 CJT65544:CJT65550 CTP65544:CTP65550 DDL65544:DDL65550 DNH65544:DNH65550 DXD65544:DXD65550 EGZ65544:EGZ65550 EQV65544:EQV65550 FAR65544:FAR65550 FKN65544:FKN65550 FUJ65544:FUJ65550 GEF65544:GEF65550 GOB65544:GOB65550 GXX65544:GXX65550 HHT65544:HHT65550 HRP65544:HRP65550 IBL65544:IBL65550 ILH65544:ILH65550 IVD65544:IVD65550 JEZ65544:JEZ65550 JOV65544:JOV65550 JYR65544:JYR65550 KIN65544:KIN65550 KSJ65544:KSJ65550 LCF65544:LCF65550 LMB65544:LMB65550 LVX65544:LVX65550 MFT65544:MFT65550 MPP65544:MPP65550 MZL65544:MZL65550 NJH65544:NJH65550 NTD65544:NTD65550 OCZ65544:OCZ65550 OMV65544:OMV65550 OWR65544:OWR65550 PGN65544:PGN65550 PQJ65544:PQJ65550 QAF65544:QAF65550 QKB65544:QKB65550 QTX65544:QTX65550 RDT65544:RDT65550 RNP65544:RNP65550 RXL65544:RXL65550 SHH65544:SHH65550 SRD65544:SRD65550 TAZ65544:TAZ65550 TKV65544:TKV65550 TUR65544:TUR65550 UEN65544:UEN65550 UOJ65544:UOJ65550 UYF65544:UYF65550 VIB65544:VIB65550 VRX65544:VRX65550 WBT65544:WBT65550 WLP65544:WLP65550 WVL65544:WVL65550 D131080:D131086 IZ131080:IZ131086 SV131080:SV131086 ACR131080:ACR131086 AMN131080:AMN131086 AWJ131080:AWJ131086 BGF131080:BGF131086 BQB131080:BQB131086 BZX131080:BZX131086 CJT131080:CJT131086 CTP131080:CTP131086 DDL131080:DDL131086 DNH131080:DNH131086 DXD131080:DXD131086 EGZ131080:EGZ131086 EQV131080:EQV131086 FAR131080:FAR131086 FKN131080:FKN131086 FUJ131080:FUJ131086 GEF131080:GEF131086 GOB131080:GOB131086 GXX131080:GXX131086 HHT131080:HHT131086 HRP131080:HRP131086 IBL131080:IBL131086 ILH131080:ILH131086 IVD131080:IVD131086 JEZ131080:JEZ131086 JOV131080:JOV131086 JYR131080:JYR131086 KIN131080:KIN131086 KSJ131080:KSJ131086 LCF131080:LCF131086 LMB131080:LMB131086 LVX131080:LVX131086 MFT131080:MFT131086 MPP131080:MPP131086 MZL131080:MZL131086 NJH131080:NJH131086 NTD131080:NTD131086 OCZ131080:OCZ131086 OMV131080:OMV131086 OWR131080:OWR131086 PGN131080:PGN131086 PQJ131080:PQJ131086 QAF131080:QAF131086 QKB131080:QKB131086 QTX131080:QTX131086 RDT131080:RDT131086 RNP131080:RNP131086 RXL131080:RXL131086 SHH131080:SHH131086 SRD131080:SRD131086 TAZ131080:TAZ131086 TKV131080:TKV131086 TUR131080:TUR131086 UEN131080:UEN131086 UOJ131080:UOJ131086 UYF131080:UYF131086 VIB131080:VIB131086 VRX131080:VRX131086 WBT131080:WBT131086 WLP131080:WLP131086 WVL131080:WVL131086 D196616:D196622 IZ196616:IZ196622 SV196616:SV196622 ACR196616:ACR196622 AMN196616:AMN196622 AWJ196616:AWJ196622 BGF196616:BGF196622 BQB196616:BQB196622 BZX196616:BZX196622 CJT196616:CJT196622 CTP196616:CTP196622 DDL196616:DDL196622 DNH196616:DNH196622 DXD196616:DXD196622 EGZ196616:EGZ196622 EQV196616:EQV196622 FAR196616:FAR196622 FKN196616:FKN196622 FUJ196616:FUJ196622 GEF196616:GEF196622 GOB196616:GOB196622 GXX196616:GXX196622 HHT196616:HHT196622 HRP196616:HRP196622 IBL196616:IBL196622 ILH196616:ILH196622 IVD196616:IVD196622 JEZ196616:JEZ196622 JOV196616:JOV196622 JYR196616:JYR196622 KIN196616:KIN196622 KSJ196616:KSJ196622 LCF196616:LCF196622 LMB196616:LMB196622 LVX196616:LVX196622 MFT196616:MFT196622 MPP196616:MPP196622 MZL196616:MZL196622 NJH196616:NJH196622 NTD196616:NTD196622 OCZ196616:OCZ196622 OMV196616:OMV196622 OWR196616:OWR196622 PGN196616:PGN196622 PQJ196616:PQJ196622 QAF196616:QAF196622 QKB196616:QKB196622 QTX196616:QTX196622 RDT196616:RDT196622 RNP196616:RNP196622 RXL196616:RXL196622 SHH196616:SHH196622 SRD196616:SRD196622 TAZ196616:TAZ196622 TKV196616:TKV196622 TUR196616:TUR196622 UEN196616:UEN196622 UOJ196616:UOJ196622 UYF196616:UYF196622 VIB196616:VIB196622 VRX196616:VRX196622 WBT196616:WBT196622 WLP196616:WLP196622 WVL196616:WVL196622 D262152:D262158 IZ262152:IZ262158 SV262152:SV262158 ACR262152:ACR262158 AMN262152:AMN262158 AWJ262152:AWJ262158 BGF262152:BGF262158 BQB262152:BQB262158 BZX262152:BZX262158 CJT262152:CJT262158 CTP262152:CTP262158 DDL262152:DDL262158 DNH262152:DNH262158 DXD262152:DXD262158 EGZ262152:EGZ262158 EQV262152:EQV262158 FAR262152:FAR262158 FKN262152:FKN262158 FUJ262152:FUJ262158 GEF262152:GEF262158 GOB262152:GOB262158 GXX262152:GXX262158 HHT262152:HHT262158 HRP262152:HRP262158 IBL262152:IBL262158 ILH262152:ILH262158 IVD262152:IVD262158 JEZ262152:JEZ262158 JOV262152:JOV262158 JYR262152:JYR262158 KIN262152:KIN262158 KSJ262152:KSJ262158 LCF262152:LCF262158 LMB262152:LMB262158 LVX262152:LVX262158 MFT262152:MFT262158 MPP262152:MPP262158 MZL262152:MZL262158 NJH262152:NJH262158 NTD262152:NTD262158 OCZ262152:OCZ262158 OMV262152:OMV262158 OWR262152:OWR262158 PGN262152:PGN262158 PQJ262152:PQJ262158 QAF262152:QAF262158 QKB262152:QKB262158 QTX262152:QTX262158 RDT262152:RDT262158 RNP262152:RNP262158 RXL262152:RXL262158 SHH262152:SHH262158 SRD262152:SRD262158 TAZ262152:TAZ262158 TKV262152:TKV262158 TUR262152:TUR262158 UEN262152:UEN262158 UOJ262152:UOJ262158 UYF262152:UYF262158 VIB262152:VIB262158 VRX262152:VRX262158 WBT262152:WBT262158 WLP262152:WLP262158 WVL262152:WVL262158 D327688:D327694 IZ327688:IZ327694 SV327688:SV327694 ACR327688:ACR327694 AMN327688:AMN327694 AWJ327688:AWJ327694 BGF327688:BGF327694 BQB327688:BQB327694 BZX327688:BZX327694 CJT327688:CJT327694 CTP327688:CTP327694 DDL327688:DDL327694 DNH327688:DNH327694 DXD327688:DXD327694 EGZ327688:EGZ327694 EQV327688:EQV327694 FAR327688:FAR327694 FKN327688:FKN327694 FUJ327688:FUJ327694 GEF327688:GEF327694 GOB327688:GOB327694 GXX327688:GXX327694 HHT327688:HHT327694 HRP327688:HRP327694 IBL327688:IBL327694 ILH327688:ILH327694 IVD327688:IVD327694 JEZ327688:JEZ327694 JOV327688:JOV327694 JYR327688:JYR327694 KIN327688:KIN327694 KSJ327688:KSJ327694 LCF327688:LCF327694 LMB327688:LMB327694 LVX327688:LVX327694 MFT327688:MFT327694 MPP327688:MPP327694 MZL327688:MZL327694 NJH327688:NJH327694 NTD327688:NTD327694 OCZ327688:OCZ327694 OMV327688:OMV327694 OWR327688:OWR327694 PGN327688:PGN327694 PQJ327688:PQJ327694 QAF327688:QAF327694 QKB327688:QKB327694 QTX327688:QTX327694 RDT327688:RDT327694 RNP327688:RNP327694 RXL327688:RXL327694 SHH327688:SHH327694 SRD327688:SRD327694 TAZ327688:TAZ327694 TKV327688:TKV327694 TUR327688:TUR327694 UEN327688:UEN327694 UOJ327688:UOJ327694 UYF327688:UYF327694 VIB327688:VIB327694 VRX327688:VRX327694 WBT327688:WBT327694 WLP327688:WLP327694 WVL327688:WVL327694 D393224:D393230 IZ393224:IZ393230 SV393224:SV393230 ACR393224:ACR393230 AMN393224:AMN393230 AWJ393224:AWJ393230 BGF393224:BGF393230 BQB393224:BQB393230 BZX393224:BZX393230 CJT393224:CJT393230 CTP393224:CTP393230 DDL393224:DDL393230 DNH393224:DNH393230 DXD393224:DXD393230 EGZ393224:EGZ393230 EQV393224:EQV393230 FAR393224:FAR393230 FKN393224:FKN393230 FUJ393224:FUJ393230 GEF393224:GEF393230 GOB393224:GOB393230 GXX393224:GXX393230 HHT393224:HHT393230 HRP393224:HRP393230 IBL393224:IBL393230 ILH393224:ILH393230 IVD393224:IVD393230 JEZ393224:JEZ393230 JOV393224:JOV393230 JYR393224:JYR393230 KIN393224:KIN393230 KSJ393224:KSJ393230 LCF393224:LCF393230 LMB393224:LMB393230 LVX393224:LVX393230 MFT393224:MFT393230 MPP393224:MPP393230 MZL393224:MZL393230 NJH393224:NJH393230 NTD393224:NTD393230 OCZ393224:OCZ393230 OMV393224:OMV393230 OWR393224:OWR393230 PGN393224:PGN393230 PQJ393224:PQJ393230 QAF393224:QAF393230 QKB393224:QKB393230 QTX393224:QTX393230 RDT393224:RDT393230 RNP393224:RNP393230 RXL393224:RXL393230 SHH393224:SHH393230 SRD393224:SRD393230 TAZ393224:TAZ393230 TKV393224:TKV393230 TUR393224:TUR393230 UEN393224:UEN393230 UOJ393224:UOJ393230 UYF393224:UYF393230 VIB393224:VIB393230 VRX393224:VRX393230 WBT393224:WBT393230 WLP393224:WLP393230 WVL393224:WVL393230 D458760:D458766 IZ458760:IZ458766 SV458760:SV458766 ACR458760:ACR458766 AMN458760:AMN458766 AWJ458760:AWJ458766 BGF458760:BGF458766 BQB458760:BQB458766 BZX458760:BZX458766 CJT458760:CJT458766 CTP458760:CTP458766 DDL458760:DDL458766 DNH458760:DNH458766 DXD458760:DXD458766 EGZ458760:EGZ458766 EQV458760:EQV458766 FAR458760:FAR458766 FKN458760:FKN458766 FUJ458760:FUJ458766 GEF458760:GEF458766 GOB458760:GOB458766 GXX458760:GXX458766 HHT458760:HHT458766 HRP458760:HRP458766 IBL458760:IBL458766 ILH458760:ILH458766 IVD458760:IVD458766 JEZ458760:JEZ458766 JOV458760:JOV458766 JYR458760:JYR458766 KIN458760:KIN458766 KSJ458760:KSJ458766 LCF458760:LCF458766 LMB458760:LMB458766 LVX458760:LVX458766 MFT458760:MFT458766 MPP458760:MPP458766 MZL458760:MZL458766 NJH458760:NJH458766 NTD458760:NTD458766 OCZ458760:OCZ458766 OMV458760:OMV458766 OWR458760:OWR458766 PGN458760:PGN458766 PQJ458760:PQJ458766 QAF458760:QAF458766 QKB458760:QKB458766 QTX458760:QTX458766 RDT458760:RDT458766 RNP458760:RNP458766 RXL458760:RXL458766 SHH458760:SHH458766 SRD458760:SRD458766 TAZ458760:TAZ458766 TKV458760:TKV458766 TUR458760:TUR458766 UEN458760:UEN458766 UOJ458760:UOJ458766 UYF458760:UYF458766 VIB458760:VIB458766 VRX458760:VRX458766 WBT458760:WBT458766 WLP458760:WLP458766 WVL458760:WVL458766 D524296:D524302 IZ524296:IZ524302 SV524296:SV524302 ACR524296:ACR524302 AMN524296:AMN524302 AWJ524296:AWJ524302 BGF524296:BGF524302 BQB524296:BQB524302 BZX524296:BZX524302 CJT524296:CJT524302 CTP524296:CTP524302 DDL524296:DDL524302 DNH524296:DNH524302 DXD524296:DXD524302 EGZ524296:EGZ524302 EQV524296:EQV524302 FAR524296:FAR524302 FKN524296:FKN524302 FUJ524296:FUJ524302 GEF524296:GEF524302 GOB524296:GOB524302 GXX524296:GXX524302 HHT524296:HHT524302 HRP524296:HRP524302 IBL524296:IBL524302 ILH524296:ILH524302 IVD524296:IVD524302 JEZ524296:JEZ524302 JOV524296:JOV524302 JYR524296:JYR524302 KIN524296:KIN524302 KSJ524296:KSJ524302 LCF524296:LCF524302 LMB524296:LMB524302 LVX524296:LVX524302 MFT524296:MFT524302 MPP524296:MPP524302 MZL524296:MZL524302 NJH524296:NJH524302 NTD524296:NTD524302 OCZ524296:OCZ524302 OMV524296:OMV524302 OWR524296:OWR524302 PGN524296:PGN524302 PQJ524296:PQJ524302 QAF524296:QAF524302 QKB524296:QKB524302 QTX524296:QTX524302 RDT524296:RDT524302 RNP524296:RNP524302 RXL524296:RXL524302 SHH524296:SHH524302 SRD524296:SRD524302 TAZ524296:TAZ524302 TKV524296:TKV524302 TUR524296:TUR524302 UEN524296:UEN524302 UOJ524296:UOJ524302 UYF524296:UYF524302 VIB524296:VIB524302 VRX524296:VRX524302 WBT524296:WBT524302 WLP524296:WLP524302 WVL524296:WVL524302 D589832:D589838 IZ589832:IZ589838 SV589832:SV589838 ACR589832:ACR589838 AMN589832:AMN589838 AWJ589832:AWJ589838 BGF589832:BGF589838 BQB589832:BQB589838 BZX589832:BZX589838 CJT589832:CJT589838 CTP589832:CTP589838 DDL589832:DDL589838 DNH589832:DNH589838 DXD589832:DXD589838 EGZ589832:EGZ589838 EQV589832:EQV589838 FAR589832:FAR589838 FKN589832:FKN589838 FUJ589832:FUJ589838 GEF589832:GEF589838 GOB589832:GOB589838 GXX589832:GXX589838 HHT589832:HHT589838 HRP589832:HRP589838 IBL589832:IBL589838 ILH589832:ILH589838 IVD589832:IVD589838 JEZ589832:JEZ589838 JOV589832:JOV589838 JYR589832:JYR589838 KIN589832:KIN589838 KSJ589832:KSJ589838 LCF589832:LCF589838 LMB589832:LMB589838 LVX589832:LVX589838 MFT589832:MFT589838 MPP589832:MPP589838 MZL589832:MZL589838 NJH589832:NJH589838 NTD589832:NTD589838 OCZ589832:OCZ589838 OMV589832:OMV589838 OWR589832:OWR589838 PGN589832:PGN589838 PQJ589832:PQJ589838 QAF589832:QAF589838 QKB589832:QKB589838 QTX589832:QTX589838 RDT589832:RDT589838 RNP589832:RNP589838 RXL589832:RXL589838 SHH589832:SHH589838 SRD589832:SRD589838 TAZ589832:TAZ589838 TKV589832:TKV589838 TUR589832:TUR589838 UEN589832:UEN589838 UOJ589832:UOJ589838 UYF589832:UYF589838 VIB589832:VIB589838 VRX589832:VRX589838 WBT589832:WBT589838 WLP589832:WLP589838 WVL589832:WVL589838 D655368:D655374 IZ655368:IZ655374 SV655368:SV655374 ACR655368:ACR655374 AMN655368:AMN655374 AWJ655368:AWJ655374 BGF655368:BGF655374 BQB655368:BQB655374 BZX655368:BZX655374 CJT655368:CJT655374 CTP655368:CTP655374 DDL655368:DDL655374 DNH655368:DNH655374 DXD655368:DXD655374 EGZ655368:EGZ655374 EQV655368:EQV655374 FAR655368:FAR655374 FKN655368:FKN655374 FUJ655368:FUJ655374 GEF655368:GEF655374 GOB655368:GOB655374 GXX655368:GXX655374 HHT655368:HHT655374 HRP655368:HRP655374 IBL655368:IBL655374 ILH655368:ILH655374 IVD655368:IVD655374 JEZ655368:JEZ655374 JOV655368:JOV655374 JYR655368:JYR655374 KIN655368:KIN655374 KSJ655368:KSJ655374 LCF655368:LCF655374 LMB655368:LMB655374 LVX655368:LVX655374 MFT655368:MFT655374 MPP655368:MPP655374 MZL655368:MZL655374 NJH655368:NJH655374 NTD655368:NTD655374 OCZ655368:OCZ655374 OMV655368:OMV655374 OWR655368:OWR655374 PGN655368:PGN655374 PQJ655368:PQJ655374 QAF655368:QAF655374 QKB655368:QKB655374 QTX655368:QTX655374 RDT655368:RDT655374 RNP655368:RNP655374 RXL655368:RXL655374 SHH655368:SHH655374 SRD655368:SRD655374 TAZ655368:TAZ655374 TKV655368:TKV655374 TUR655368:TUR655374 UEN655368:UEN655374 UOJ655368:UOJ655374 UYF655368:UYF655374 VIB655368:VIB655374 VRX655368:VRX655374 WBT655368:WBT655374 WLP655368:WLP655374 WVL655368:WVL655374 D720904:D720910 IZ720904:IZ720910 SV720904:SV720910 ACR720904:ACR720910 AMN720904:AMN720910 AWJ720904:AWJ720910 BGF720904:BGF720910 BQB720904:BQB720910 BZX720904:BZX720910 CJT720904:CJT720910 CTP720904:CTP720910 DDL720904:DDL720910 DNH720904:DNH720910 DXD720904:DXD720910 EGZ720904:EGZ720910 EQV720904:EQV720910 FAR720904:FAR720910 FKN720904:FKN720910 FUJ720904:FUJ720910 GEF720904:GEF720910 GOB720904:GOB720910 GXX720904:GXX720910 HHT720904:HHT720910 HRP720904:HRP720910 IBL720904:IBL720910 ILH720904:ILH720910 IVD720904:IVD720910 JEZ720904:JEZ720910 JOV720904:JOV720910 JYR720904:JYR720910 KIN720904:KIN720910 KSJ720904:KSJ720910 LCF720904:LCF720910 LMB720904:LMB720910 LVX720904:LVX720910 MFT720904:MFT720910 MPP720904:MPP720910 MZL720904:MZL720910 NJH720904:NJH720910 NTD720904:NTD720910 OCZ720904:OCZ720910 OMV720904:OMV720910 OWR720904:OWR720910 PGN720904:PGN720910 PQJ720904:PQJ720910 QAF720904:QAF720910 QKB720904:QKB720910 QTX720904:QTX720910 RDT720904:RDT720910 RNP720904:RNP720910 RXL720904:RXL720910 SHH720904:SHH720910 SRD720904:SRD720910 TAZ720904:TAZ720910 TKV720904:TKV720910 TUR720904:TUR720910 UEN720904:UEN720910 UOJ720904:UOJ720910 UYF720904:UYF720910 VIB720904:VIB720910 VRX720904:VRX720910 WBT720904:WBT720910 WLP720904:WLP720910 WVL720904:WVL720910 D786440:D786446 IZ786440:IZ786446 SV786440:SV786446 ACR786440:ACR786446 AMN786440:AMN786446 AWJ786440:AWJ786446 BGF786440:BGF786446 BQB786440:BQB786446 BZX786440:BZX786446 CJT786440:CJT786446 CTP786440:CTP786446 DDL786440:DDL786446 DNH786440:DNH786446 DXD786440:DXD786446 EGZ786440:EGZ786446 EQV786440:EQV786446 FAR786440:FAR786446 FKN786440:FKN786446 FUJ786440:FUJ786446 GEF786440:GEF786446 GOB786440:GOB786446 GXX786440:GXX786446 HHT786440:HHT786446 HRP786440:HRP786446 IBL786440:IBL786446 ILH786440:ILH786446 IVD786440:IVD786446 JEZ786440:JEZ786446 JOV786440:JOV786446 JYR786440:JYR786446 KIN786440:KIN786446 KSJ786440:KSJ786446 LCF786440:LCF786446 LMB786440:LMB786446 LVX786440:LVX786446 MFT786440:MFT786446 MPP786440:MPP786446 MZL786440:MZL786446 NJH786440:NJH786446 NTD786440:NTD786446 OCZ786440:OCZ786446 OMV786440:OMV786446 OWR786440:OWR786446 PGN786440:PGN786446 PQJ786440:PQJ786446 QAF786440:QAF786446 QKB786440:QKB786446 QTX786440:QTX786446 RDT786440:RDT786446 RNP786440:RNP786446 RXL786440:RXL786446 SHH786440:SHH786446 SRD786440:SRD786446 TAZ786440:TAZ786446 TKV786440:TKV786446 TUR786440:TUR786446 UEN786440:UEN786446 UOJ786440:UOJ786446 UYF786440:UYF786446 VIB786440:VIB786446 VRX786440:VRX786446 WBT786440:WBT786446 WLP786440:WLP786446 WVL786440:WVL786446 D851976:D851982 IZ851976:IZ851982 SV851976:SV851982 ACR851976:ACR851982 AMN851976:AMN851982 AWJ851976:AWJ851982 BGF851976:BGF851982 BQB851976:BQB851982 BZX851976:BZX851982 CJT851976:CJT851982 CTP851976:CTP851982 DDL851976:DDL851982 DNH851976:DNH851982 DXD851976:DXD851982 EGZ851976:EGZ851982 EQV851976:EQV851982 FAR851976:FAR851982 FKN851976:FKN851982 FUJ851976:FUJ851982 GEF851976:GEF851982 GOB851976:GOB851982 GXX851976:GXX851982 HHT851976:HHT851982 HRP851976:HRP851982 IBL851976:IBL851982 ILH851976:ILH851982 IVD851976:IVD851982 JEZ851976:JEZ851982 JOV851976:JOV851982 JYR851976:JYR851982 KIN851976:KIN851982 KSJ851976:KSJ851982 LCF851976:LCF851982 LMB851976:LMB851982 LVX851976:LVX851982 MFT851976:MFT851982 MPP851976:MPP851982 MZL851976:MZL851982 NJH851976:NJH851982 NTD851976:NTD851982 OCZ851976:OCZ851982 OMV851976:OMV851982 OWR851976:OWR851982 PGN851976:PGN851982 PQJ851976:PQJ851982 QAF851976:QAF851982 QKB851976:QKB851982 QTX851976:QTX851982 RDT851976:RDT851982 RNP851976:RNP851982 RXL851976:RXL851982 SHH851976:SHH851982 SRD851976:SRD851982 TAZ851976:TAZ851982 TKV851976:TKV851982 TUR851976:TUR851982 UEN851976:UEN851982 UOJ851976:UOJ851982 UYF851976:UYF851982 VIB851976:VIB851982 VRX851976:VRX851982 WBT851976:WBT851982 WLP851976:WLP851982 WVL851976:WVL851982 D917512:D917518 IZ917512:IZ917518 SV917512:SV917518 ACR917512:ACR917518 AMN917512:AMN917518 AWJ917512:AWJ917518 BGF917512:BGF917518 BQB917512:BQB917518 BZX917512:BZX917518 CJT917512:CJT917518 CTP917512:CTP917518 DDL917512:DDL917518 DNH917512:DNH917518 DXD917512:DXD917518 EGZ917512:EGZ917518 EQV917512:EQV917518 FAR917512:FAR917518 FKN917512:FKN917518 FUJ917512:FUJ917518 GEF917512:GEF917518 GOB917512:GOB917518 GXX917512:GXX917518 HHT917512:HHT917518 HRP917512:HRP917518 IBL917512:IBL917518 ILH917512:ILH917518 IVD917512:IVD917518 JEZ917512:JEZ917518 JOV917512:JOV917518 JYR917512:JYR917518 KIN917512:KIN917518 KSJ917512:KSJ917518 LCF917512:LCF917518 LMB917512:LMB917518 LVX917512:LVX917518 MFT917512:MFT917518 MPP917512:MPP917518 MZL917512:MZL917518 NJH917512:NJH917518 NTD917512:NTD917518 OCZ917512:OCZ917518 OMV917512:OMV917518 OWR917512:OWR917518 PGN917512:PGN917518 PQJ917512:PQJ917518 QAF917512:QAF917518 QKB917512:QKB917518 QTX917512:QTX917518 RDT917512:RDT917518 RNP917512:RNP917518 RXL917512:RXL917518 SHH917512:SHH917518 SRD917512:SRD917518 TAZ917512:TAZ917518 TKV917512:TKV917518 TUR917512:TUR917518 UEN917512:UEN917518 UOJ917512:UOJ917518 UYF917512:UYF917518 VIB917512:VIB917518 VRX917512:VRX917518 WBT917512:WBT917518 WLP917512:WLP917518 WVL917512:WVL917518 D983048:D983054 IZ983048:IZ983054 SV983048:SV983054 ACR983048:ACR983054 AMN983048:AMN983054 AWJ983048:AWJ983054 BGF983048:BGF983054 BQB983048:BQB983054 BZX983048:BZX983054 CJT983048:CJT983054 CTP983048:CTP983054 DDL983048:DDL983054 DNH983048:DNH983054 DXD983048:DXD983054 EGZ983048:EGZ983054 EQV983048:EQV983054 FAR983048:FAR983054 FKN983048:FKN983054 FUJ983048:FUJ983054 GEF983048:GEF983054 GOB983048:GOB983054 GXX983048:GXX983054 HHT983048:HHT983054 HRP983048:HRP983054 IBL983048:IBL983054 ILH983048:ILH983054 IVD983048:IVD983054 JEZ983048:JEZ983054 JOV983048:JOV983054 JYR983048:JYR983054 KIN983048:KIN983054 KSJ983048:KSJ983054 LCF983048:LCF983054 LMB983048:LMB983054 LVX983048:LVX983054 MFT983048:MFT983054 MPP983048:MPP983054 MZL983048:MZL983054 NJH983048:NJH983054 NTD983048:NTD983054 OCZ983048:OCZ983054 OMV983048:OMV983054 OWR983048:OWR983054 PGN983048:PGN983054 PQJ983048:PQJ983054 QAF983048:QAF983054 QKB983048:QKB983054 QTX983048:QTX983054 RDT983048:RDT983054 RNP983048:RNP983054 RXL983048:RXL983054 SHH983048:SHH983054 SRD983048:SRD983054 TAZ983048:TAZ983054 TKV983048:TKV983054 TUR983048:TUR983054 UEN983048:UEN983054 UOJ983048:UOJ983054 UYF983048:UYF983054 VIB983048:VIB983054 VRX983048:VRX983054 WBT983048:WBT983054 D18:D20 D6:D12"/>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09"/>
  <sheetViews>
    <sheetView tabSelected="1" topLeftCell="B1682" workbookViewId="0">
      <selection activeCell="D1777" sqref="D1777"/>
    </sheetView>
  </sheetViews>
  <sheetFormatPr defaultColWidth="9.140625" defaultRowHeight="12.75" x14ac:dyDescent="0.2"/>
  <cols>
    <col min="1" max="1" width="9.140625" style="849" hidden="1" customWidth="1"/>
    <col min="2" max="2" width="7.5703125" style="324" customWidth="1"/>
    <col min="3" max="4" width="9.140625" style="129"/>
    <col min="5" max="5" width="24.28515625" style="129" customWidth="1"/>
    <col min="6" max="6" width="9.140625" style="129"/>
    <col min="7" max="7" width="11.28515625" style="129" customWidth="1"/>
    <col min="8" max="8" width="11.140625" style="129" customWidth="1"/>
    <col min="9" max="9" width="14.5703125" style="129" customWidth="1"/>
    <col min="10" max="10" width="11.85546875" style="129" customWidth="1"/>
    <col min="11" max="17" width="9.140625" style="129"/>
    <col min="18" max="18" width="12.42578125" style="129" bestFit="1" customWidth="1"/>
    <col min="19" max="16384" width="9.140625" style="129"/>
  </cols>
  <sheetData>
    <row r="1" spans="1:16" x14ac:dyDescent="0.2">
      <c r="B1" s="2072" t="str">
        <f>Design!B1</f>
        <v>CPWS SCHEME TO                                                                                                       DISTRICT</v>
      </c>
      <c r="C1" s="2073"/>
      <c r="D1" s="2073"/>
      <c r="E1" s="2073"/>
      <c r="F1" s="2073"/>
      <c r="G1" s="2073"/>
      <c r="H1" s="2073"/>
      <c r="I1" s="2073"/>
    </row>
    <row r="2" spans="1:16" x14ac:dyDescent="0.2">
      <c r="B2" s="921" t="s">
        <v>1009</v>
      </c>
      <c r="C2" s="428"/>
      <c r="D2" s="428"/>
      <c r="E2" s="428"/>
      <c r="F2" s="428"/>
      <c r="G2" s="428"/>
      <c r="H2" s="428"/>
      <c r="I2" s="428"/>
    </row>
    <row r="3" spans="1:16" x14ac:dyDescent="0.2">
      <c r="B3" s="2074" t="s">
        <v>2144</v>
      </c>
      <c r="C3" s="2074"/>
      <c r="D3" s="2074"/>
      <c r="E3" s="2074"/>
      <c r="F3" s="2074"/>
      <c r="G3" s="2074"/>
      <c r="H3" s="2074"/>
      <c r="I3" s="2074"/>
    </row>
    <row r="4" spans="1:16" x14ac:dyDescent="0.2">
      <c r="H4" s="922" t="s">
        <v>1010</v>
      </c>
      <c r="I4" s="923">
        <v>0.2</v>
      </c>
      <c r="O4" s="924" t="s">
        <v>1010</v>
      </c>
      <c r="P4" s="925">
        <f>I4</f>
        <v>0.2</v>
      </c>
    </row>
    <row r="5" spans="1:16" x14ac:dyDescent="0.2">
      <c r="H5" s="926" t="str">
        <f>E11</f>
        <v>Overheads &amp; C.Profit</v>
      </c>
      <c r="I5" s="1939">
        <v>0.13614999999999999</v>
      </c>
      <c r="O5" s="413"/>
      <c r="P5" s="413"/>
    </row>
    <row r="7" spans="1:16" x14ac:dyDescent="0.2">
      <c r="B7" s="927">
        <v>1</v>
      </c>
      <c r="C7" s="2075" t="s">
        <v>347</v>
      </c>
      <c r="D7" s="2076"/>
      <c r="E7" s="2076"/>
      <c r="F7" s="2076"/>
      <c r="G7" s="2076"/>
      <c r="I7" s="129" t="s">
        <v>982</v>
      </c>
    </row>
    <row r="8" spans="1:16" x14ac:dyDescent="0.2">
      <c r="C8" s="129" t="s">
        <v>1011</v>
      </c>
    </row>
    <row r="9" spans="1:16" x14ac:dyDescent="0.2">
      <c r="C9" s="295">
        <v>1</v>
      </c>
      <c r="D9" s="129" t="s">
        <v>1012</v>
      </c>
      <c r="E9" s="129" t="s">
        <v>1013</v>
      </c>
      <c r="F9" s="129" t="s">
        <v>2093</v>
      </c>
      <c r="I9" s="149">
        <f>SSR!$E$14</f>
        <v>116.48</v>
      </c>
      <c r="J9" s="129" t="s">
        <v>914</v>
      </c>
    </row>
    <row r="10" spans="1:16" x14ac:dyDescent="0.2">
      <c r="C10" s="295"/>
      <c r="E10" s="129" t="str">
        <f>+IF($I$4=0%,"---","Municipal allowance")</f>
        <v>Municipal allowance</v>
      </c>
      <c r="G10" s="928">
        <f>$I$4</f>
        <v>0.2</v>
      </c>
      <c r="I10" s="149">
        <f>ROUND(I9*G10,1)</f>
        <v>23.3</v>
      </c>
    </row>
    <row r="11" spans="1:16" s="930" customFormat="1" ht="13.5" thickBot="1" x14ac:dyDescent="0.25">
      <c r="A11" s="929"/>
      <c r="B11" s="927"/>
      <c r="E11" s="930" t="s">
        <v>2110</v>
      </c>
      <c r="G11" s="1940">
        <f>+$I$5</f>
        <v>0.13614999999999999</v>
      </c>
      <c r="I11" s="932">
        <f>((I9+I10)*G11)</f>
        <v>19.031047000000001</v>
      </c>
    </row>
    <row r="12" spans="1:16" ht="13.5" thickBot="1" x14ac:dyDescent="0.25">
      <c r="A12" s="933"/>
      <c r="F12" s="934" t="s">
        <v>1014</v>
      </c>
      <c r="G12" s="935"/>
      <c r="H12" s="935"/>
      <c r="I12" s="936">
        <f>ROUND((SUM(I9:I11)),1)</f>
        <v>158.80000000000001</v>
      </c>
    </row>
    <row r="14" spans="1:16" x14ac:dyDescent="0.2">
      <c r="D14" s="139" t="s">
        <v>1015</v>
      </c>
      <c r="F14" s="129" t="s">
        <v>2094</v>
      </c>
      <c r="I14" s="295"/>
    </row>
    <row r="15" spans="1:16" x14ac:dyDescent="0.2">
      <c r="C15" s="129">
        <v>1</v>
      </c>
      <c r="D15" s="129" t="s">
        <v>20</v>
      </c>
      <c r="E15" s="129" t="s">
        <v>1016</v>
      </c>
      <c r="F15" s="295">
        <f>SSR!E15</f>
        <v>149.76</v>
      </c>
      <c r="G15" s="129">
        <v>1</v>
      </c>
      <c r="H15" s="129" t="s">
        <v>20</v>
      </c>
      <c r="I15" s="937">
        <f>F15</f>
        <v>149.76</v>
      </c>
    </row>
    <row r="16" spans="1:16" s="930" customFormat="1" x14ac:dyDescent="0.2">
      <c r="A16" s="929"/>
      <c r="B16" s="927"/>
      <c r="E16" s="930" t="str">
        <f>+IF($I$4=0%,"---","Municipal allowance")</f>
        <v>Municipal allowance</v>
      </c>
      <c r="F16" s="931">
        <f>$I$4</f>
        <v>0.2</v>
      </c>
      <c r="I16" s="938">
        <f>I15*F16</f>
        <v>29.951999999999998</v>
      </c>
    </row>
    <row r="17" spans="1:10" ht="13.5" thickBot="1" x14ac:dyDescent="0.25">
      <c r="E17" s="129" t="s">
        <v>2102</v>
      </c>
      <c r="G17" s="1940">
        <f>+$I$5</f>
        <v>0.13614999999999999</v>
      </c>
      <c r="I17" s="149">
        <f>(I15+I16)*G17</f>
        <v>24.467788799999997</v>
      </c>
    </row>
    <row r="18" spans="1:10" ht="13.5" thickBot="1" x14ac:dyDescent="0.25">
      <c r="A18" s="933"/>
      <c r="H18" s="129" t="s">
        <v>23</v>
      </c>
      <c r="I18" s="939">
        <f>ROUND(SUM(I15:I17),1)</f>
        <v>204.2</v>
      </c>
    </row>
    <row r="19" spans="1:10" x14ac:dyDescent="0.2">
      <c r="D19" s="139" t="s">
        <v>1017</v>
      </c>
      <c r="F19" s="129" t="s">
        <v>2095</v>
      </c>
      <c r="J19" s="295"/>
    </row>
    <row r="20" spans="1:10" x14ac:dyDescent="0.2">
      <c r="D20" s="129" t="s">
        <v>1018</v>
      </c>
      <c r="E20" s="129" t="s">
        <v>1019</v>
      </c>
      <c r="H20" s="295"/>
      <c r="I20" s="129">
        <f>SSR!E16</f>
        <v>199.68</v>
      </c>
      <c r="J20" s="129" t="s">
        <v>916</v>
      </c>
    </row>
    <row r="21" spans="1:10" s="930" customFormat="1" x14ac:dyDescent="0.2">
      <c r="A21" s="929"/>
      <c r="B21" s="927"/>
      <c r="E21" s="930" t="str">
        <f>+IF($I$4=0%,"---","Municipal allowance")</f>
        <v>Municipal allowance</v>
      </c>
      <c r="F21" s="931">
        <f>$I$4</f>
        <v>0.2</v>
      </c>
      <c r="H21" s="932"/>
      <c r="I21" s="940">
        <f>I20*F21</f>
        <v>39.936000000000007</v>
      </c>
    </row>
    <row r="22" spans="1:10" ht="13.5" thickBot="1" x14ac:dyDescent="0.25">
      <c r="E22" s="129" t="str">
        <f>E11</f>
        <v>Overheads &amp; C.Profit</v>
      </c>
      <c r="G22" s="1940">
        <f>+$I$5</f>
        <v>0.13614999999999999</v>
      </c>
      <c r="H22" s="295"/>
      <c r="I22" s="295">
        <f>SUM(I20:I21)*G22</f>
        <v>32.623718400000001</v>
      </c>
    </row>
    <row r="23" spans="1:10" ht="13.5" thickBot="1" x14ac:dyDescent="0.25">
      <c r="A23" s="933"/>
      <c r="H23" s="129" t="s">
        <v>23</v>
      </c>
      <c r="I23" s="936">
        <f>ROUND(SUM(I20:I22),1)</f>
        <v>272.2</v>
      </c>
    </row>
    <row r="24" spans="1:10" x14ac:dyDescent="0.2">
      <c r="I24" s="941"/>
    </row>
    <row r="25" spans="1:10" x14ac:dyDescent="0.2">
      <c r="B25" s="324">
        <v>2</v>
      </c>
      <c r="C25" s="129" t="s">
        <v>1020</v>
      </c>
    </row>
    <row r="26" spans="1:10" x14ac:dyDescent="0.2">
      <c r="C26" s="295">
        <v>1</v>
      </c>
      <c r="D26" s="129" t="s">
        <v>1012</v>
      </c>
      <c r="E26" s="129" t="s">
        <v>1021</v>
      </c>
      <c r="F26" s="552" t="s">
        <v>1022</v>
      </c>
      <c r="G26" s="295">
        <f>Lead!K13</f>
        <v>697.02661884434269</v>
      </c>
      <c r="H26" s="129" t="s">
        <v>1023</v>
      </c>
      <c r="I26" s="295">
        <f>C26*G26</f>
        <v>697.02661884434269</v>
      </c>
    </row>
    <row r="27" spans="1:10" x14ac:dyDescent="0.2">
      <c r="C27" s="295">
        <v>1</v>
      </c>
      <c r="D27" s="129" t="s">
        <v>1012</v>
      </c>
      <c r="E27" s="129" t="s">
        <v>2092</v>
      </c>
      <c r="F27" s="552"/>
      <c r="G27" s="295"/>
      <c r="I27" s="551">
        <f>SSR!$E$17</f>
        <v>106.9</v>
      </c>
      <c r="J27" s="129" t="s">
        <v>916</v>
      </c>
    </row>
    <row r="28" spans="1:10" x14ac:dyDescent="0.2">
      <c r="C28" s="295"/>
      <c r="E28" s="129" t="str">
        <f>+IF($I$4=0%,"---","Municipal allowance")</f>
        <v>Municipal allowance</v>
      </c>
      <c r="G28" s="928">
        <f>$I$4</f>
        <v>0.2</v>
      </c>
      <c r="I28" s="149">
        <f>I27*G28</f>
        <v>21.380000000000003</v>
      </c>
    </row>
    <row r="29" spans="1:10" ht="13.5" thickBot="1" x14ac:dyDescent="0.25">
      <c r="C29" s="295"/>
      <c r="E29" s="129" t="s">
        <v>2102</v>
      </c>
      <c r="F29" s="928"/>
      <c r="G29" s="1940">
        <f>+$I$5</f>
        <v>0.13614999999999999</v>
      </c>
      <c r="I29" s="295">
        <f>(I26+I27+I28)*G29</f>
        <v>112.36549615565725</v>
      </c>
    </row>
    <row r="30" spans="1:10" ht="13.5" thickBot="1" x14ac:dyDescent="0.25">
      <c r="A30" s="933"/>
      <c r="F30" s="934" t="s">
        <v>1024</v>
      </c>
      <c r="G30" s="935"/>
      <c r="H30" s="935"/>
      <c r="I30" s="936">
        <f>ROUND(SUM(I26:I29),1)</f>
        <v>937.7</v>
      </c>
    </row>
    <row r="31" spans="1:10" x14ac:dyDescent="0.2">
      <c r="A31" s="933"/>
      <c r="F31" s="189"/>
      <c r="G31" s="189"/>
      <c r="H31" s="189"/>
      <c r="I31" s="941"/>
    </row>
    <row r="32" spans="1:10" x14ac:dyDescent="0.2">
      <c r="B32" s="927">
        <v>3</v>
      </c>
      <c r="C32" s="129" t="s">
        <v>1025</v>
      </c>
    </row>
    <row r="33" spans="1:10" x14ac:dyDescent="0.2">
      <c r="C33" s="129" t="s">
        <v>1026</v>
      </c>
    </row>
    <row r="34" spans="1:10" ht="14.25" x14ac:dyDescent="0.2">
      <c r="C34" s="942">
        <v>162</v>
      </c>
      <c r="D34" s="942" t="s">
        <v>1027</v>
      </c>
      <c r="E34" s="942" t="s">
        <v>971</v>
      </c>
      <c r="F34" s="552" t="s">
        <v>1022</v>
      </c>
      <c r="G34" s="295">
        <f>Lead!K15</f>
        <v>6400</v>
      </c>
      <c r="H34" s="129" t="s">
        <v>1012</v>
      </c>
      <c r="I34" s="295">
        <f>C34*G34/1000</f>
        <v>1036.8</v>
      </c>
    </row>
    <row r="35" spans="1:10" ht="14.25" x14ac:dyDescent="0.2">
      <c r="C35" s="942">
        <v>0.9</v>
      </c>
      <c r="D35" s="942" t="s">
        <v>1012</v>
      </c>
      <c r="E35" s="942" t="s">
        <v>1028</v>
      </c>
      <c r="F35" s="552" t="s">
        <v>1022</v>
      </c>
      <c r="G35" s="295">
        <f>Lead!K6</f>
        <v>1581.2582735554283</v>
      </c>
      <c r="H35" s="129" t="s">
        <v>1012</v>
      </c>
      <c r="I35" s="295">
        <f t="shared" ref="I35:I40" si="0">C35*G35</f>
        <v>1423.1324461998856</v>
      </c>
    </row>
    <row r="36" spans="1:10" ht="14.25" x14ac:dyDescent="0.2">
      <c r="C36" s="942">
        <v>0.45</v>
      </c>
      <c r="D36" s="942" t="s">
        <v>1012</v>
      </c>
      <c r="E36" s="942" t="s">
        <v>1029</v>
      </c>
      <c r="F36" s="552" t="s">
        <v>1022</v>
      </c>
      <c r="G36" s="295">
        <f>Lead!K11</f>
        <v>1010.7366188443427</v>
      </c>
      <c r="H36" s="129" t="s">
        <v>1030</v>
      </c>
      <c r="I36" s="295">
        <f t="shared" si="0"/>
        <v>454.83147847995423</v>
      </c>
    </row>
    <row r="37" spans="1:10" ht="14.25" x14ac:dyDescent="0.2">
      <c r="C37" s="942">
        <v>1.2</v>
      </c>
      <c r="D37" s="942" t="s">
        <v>1031</v>
      </c>
      <c r="E37" s="942" t="s">
        <v>1032</v>
      </c>
      <c r="F37" s="552" t="s">
        <v>1022</v>
      </c>
      <c r="G37" s="295">
        <f>SSR!$E$18</f>
        <v>77</v>
      </c>
      <c r="H37" s="129" t="s">
        <v>1030</v>
      </c>
      <c r="I37" s="295">
        <f t="shared" si="0"/>
        <v>92.399999999999991</v>
      </c>
      <c r="J37" s="129" t="s">
        <v>1033</v>
      </c>
    </row>
    <row r="38" spans="1:10" ht="14.25" x14ac:dyDescent="0.2">
      <c r="C38" s="942">
        <v>1</v>
      </c>
      <c r="D38" s="942" t="s">
        <v>1034</v>
      </c>
      <c r="E38" s="942" t="s">
        <v>940</v>
      </c>
      <c r="F38" s="552" t="s">
        <v>1022</v>
      </c>
      <c r="G38" s="295">
        <f>SSR!$E$32</f>
        <v>338.6</v>
      </c>
      <c r="H38" s="129" t="s">
        <v>1030</v>
      </c>
      <c r="I38" s="295">
        <f t="shared" si="0"/>
        <v>338.6</v>
      </c>
    </row>
    <row r="39" spans="1:10" ht="14.25" x14ac:dyDescent="0.2">
      <c r="C39" s="943">
        <v>0.1</v>
      </c>
      <c r="D39" s="942" t="s">
        <v>1035</v>
      </c>
      <c r="E39" s="942" t="s">
        <v>1036</v>
      </c>
      <c r="F39" s="552" t="s">
        <v>1022</v>
      </c>
      <c r="G39" s="295">
        <f>SSR!$E$8</f>
        <v>420</v>
      </c>
      <c r="I39" s="149">
        <f t="shared" si="0"/>
        <v>42</v>
      </c>
    </row>
    <row r="40" spans="1:10" ht="14.25" x14ac:dyDescent="0.2">
      <c r="C40" s="942">
        <v>1.39</v>
      </c>
      <c r="D40" s="942" t="s">
        <v>1035</v>
      </c>
      <c r="E40" s="942" t="s">
        <v>1037</v>
      </c>
      <c r="F40" s="552" t="s">
        <v>1022</v>
      </c>
      <c r="G40" s="295">
        <f>SSR!$E$10</f>
        <v>320</v>
      </c>
      <c r="H40" s="129" t="s">
        <v>20</v>
      </c>
      <c r="I40" s="149">
        <f t="shared" si="0"/>
        <v>444.79999999999995</v>
      </c>
    </row>
    <row r="41" spans="1:10" ht="14.25" x14ac:dyDescent="0.2">
      <c r="C41" s="295"/>
      <c r="E41" s="942" t="s">
        <v>1038</v>
      </c>
      <c r="G41" s="295"/>
      <c r="I41" s="295">
        <f>SUM(I39:I40)*1%</f>
        <v>4.8679999999999994</v>
      </c>
    </row>
    <row r="42" spans="1:10" x14ac:dyDescent="0.2">
      <c r="C42" s="295"/>
      <c r="E42" s="129" t="str">
        <f>+IF($I$4=0%,"---","Municipal allowance")</f>
        <v>Municipal allowance</v>
      </c>
      <c r="G42" s="928">
        <f>$I$4</f>
        <v>0.2</v>
      </c>
      <c r="I42" s="295">
        <f>(I39+I40)*G42</f>
        <v>97.36</v>
      </c>
    </row>
    <row r="43" spans="1:10" ht="13.5" thickBot="1" x14ac:dyDescent="0.25">
      <c r="E43" s="129" t="s">
        <v>2102</v>
      </c>
      <c r="G43" s="1940">
        <f>+$I$5</f>
        <v>0.13614999999999999</v>
      </c>
      <c r="I43" s="295">
        <f>SUM(I34:I42)*G43</f>
        <v>535.72192054516017</v>
      </c>
    </row>
    <row r="44" spans="1:10" ht="13.5" thickBot="1" x14ac:dyDescent="0.25">
      <c r="A44" s="933"/>
      <c r="G44" s="944"/>
      <c r="H44" s="935" t="s">
        <v>1039</v>
      </c>
      <c r="I44" s="936">
        <f>ROUND(SUM(I34:I43),1)</f>
        <v>4470.5</v>
      </c>
    </row>
    <row r="45" spans="1:10" x14ac:dyDescent="0.2">
      <c r="G45" s="155"/>
      <c r="H45" s="189"/>
      <c r="I45" s="941"/>
    </row>
    <row r="46" spans="1:10" x14ac:dyDescent="0.2">
      <c r="B46" s="927">
        <v>4</v>
      </c>
      <c r="C46" s="129" t="s">
        <v>1040</v>
      </c>
      <c r="I46" s="691" t="s">
        <v>1041</v>
      </c>
    </row>
    <row r="47" spans="1:10" x14ac:dyDescent="0.2">
      <c r="C47" s="129" t="s">
        <v>1026</v>
      </c>
    </row>
    <row r="48" spans="1:10" ht="14.25" x14ac:dyDescent="0.2">
      <c r="C48" s="942">
        <v>275</v>
      </c>
      <c r="D48" s="942" t="s">
        <v>1027</v>
      </c>
      <c r="E48" s="942" t="s">
        <v>971</v>
      </c>
      <c r="F48" s="552" t="s">
        <v>1022</v>
      </c>
      <c r="G48" s="295">
        <f>Lead!K15</f>
        <v>6400</v>
      </c>
      <c r="H48" s="129" t="s">
        <v>1012</v>
      </c>
      <c r="I48" s="295">
        <f>C48*G48/1000</f>
        <v>1760</v>
      </c>
    </row>
    <row r="49" spans="1:10" ht="14.25" x14ac:dyDescent="0.2">
      <c r="C49" s="942">
        <v>0.54</v>
      </c>
      <c r="D49" s="942" t="s">
        <v>1012</v>
      </c>
      <c r="E49" s="942" t="s">
        <v>1028</v>
      </c>
      <c r="F49" s="552" t="s">
        <v>1022</v>
      </c>
      <c r="G49" s="295">
        <f>Lead!K6</f>
        <v>1581.2582735554283</v>
      </c>
      <c r="H49" s="129" t="s">
        <v>1012</v>
      </c>
      <c r="I49" s="295">
        <f t="shared" ref="I49:I56" si="1">C49*G49</f>
        <v>853.87946771993131</v>
      </c>
    </row>
    <row r="50" spans="1:10" ht="14.25" x14ac:dyDescent="0.2">
      <c r="C50" s="942">
        <v>0.27</v>
      </c>
      <c r="D50" s="942" t="s">
        <v>1012</v>
      </c>
      <c r="E50" s="942" t="s">
        <v>1042</v>
      </c>
      <c r="F50" s="552" t="s">
        <v>1022</v>
      </c>
      <c r="G50" s="295">
        <f>Lead!K7</f>
        <v>1946.2582735554283</v>
      </c>
      <c r="H50" s="129" t="s">
        <v>1012</v>
      </c>
      <c r="I50" s="295">
        <f>C50*G50</f>
        <v>525.48973385996567</v>
      </c>
    </row>
    <row r="51" spans="1:10" ht="14.25" x14ac:dyDescent="0.2">
      <c r="C51" s="942">
        <v>0.09</v>
      </c>
      <c r="D51" s="942" t="s">
        <v>1012</v>
      </c>
      <c r="E51" s="942" t="s">
        <v>1043</v>
      </c>
      <c r="F51" s="552" t="s">
        <v>1022</v>
      </c>
      <c r="G51" s="295">
        <f>Lead!K20</f>
        <v>1671.2582735554283</v>
      </c>
      <c r="H51" s="129" t="s">
        <v>1012</v>
      </c>
      <c r="I51" s="295">
        <f>C51*G51</f>
        <v>150.41324461998855</v>
      </c>
    </row>
    <row r="52" spans="1:10" ht="14.25" x14ac:dyDescent="0.2">
      <c r="C52" s="942">
        <v>0.48</v>
      </c>
      <c r="D52" s="942" t="s">
        <v>1012</v>
      </c>
      <c r="E52" s="942" t="str">
        <f>E36</f>
        <v>Sand for concrete</v>
      </c>
      <c r="F52" s="552" t="s">
        <v>1022</v>
      </c>
      <c r="G52" s="295">
        <f>Lead!K11</f>
        <v>1010.7366188443427</v>
      </c>
      <c r="H52" s="129" t="s">
        <v>1030</v>
      </c>
      <c r="I52" s="295">
        <f t="shared" si="1"/>
        <v>485.15357704528446</v>
      </c>
    </row>
    <row r="53" spans="1:10" ht="14.25" x14ac:dyDescent="0.2">
      <c r="C53" s="942">
        <v>1.2</v>
      </c>
      <c r="D53" s="942" t="s">
        <v>1031</v>
      </c>
      <c r="E53" s="942" t="s">
        <v>1032</v>
      </c>
      <c r="F53" s="552" t="s">
        <v>1022</v>
      </c>
      <c r="G53" s="295">
        <f>SSR!$E$18</f>
        <v>77</v>
      </c>
      <c r="H53" s="129" t="s">
        <v>1030</v>
      </c>
      <c r="I53" s="295">
        <f t="shared" si="1"/>
        <v>92.399999999999991</v>
      </c>
      <c r="J53" s="129" t="s">
        <v>1033</v>
      </c>
    </row>
    <row r="54" spans="1:10" ht="14.25" x14ac:dyDescent="0.2">
      <c r="C54" s="942">
        <v>1</v>
      </c>
      <c r="D54" s="942" t="s">
        <v>1034</v>
      </c>
      <c r="E54" s="942" t="s">
        <v>940</v>
      </c>
      <c r="F54" s="552" t="s">
        <v>1022</v>
      </c>
      <c r="G54" s="295">
        <f>SSR!$E$32</f>
        <v>338.6</v>
      </c>
      <c r="H54" s="129" t="s">
        <v>1030</v>
      </c>
      <c r="I54" s="295">
        <f t="shared" si="1"/>
        <v>338.6</v>
      </c>
    </row>
    <row r="55" spans="1:10" ht="14.25" x14ac:dyDescent="0.2">
      <c r="C55" s="943">
        <v>0.1</v>
      </c>
      <c r="D55" s="942" t="s">
        <v>1035</v>
      </c>
      <c r="E55" s="942" t="s">
        <v>1036</v>
      </c>
      <c r="F55" s="552" t="s">
        <v>1022</v>
      </c>
      <c r="G55" s="295">
        <f>SSR!$E$8</f>
        <v>420</v>
      </c>
      <c r="H55" s="129" t="s">
        <v>486</v>
      </c>
      <c r="I55" s="149">
        <f t="shared" si="1"/>
        <v>42</v>
      </c>
    </row>
    <row r="56" spans="1:10" ht="14.25" x14ac:dyDescent="0.2">
      <c r="C56" s="942">
        <v>1.39</v>
      </c>
      <c r="D56" s="942" t="s">
        <v>1035</v>
      </c>
      <c r="E56" s="942" t="s">
        <v>1037</v>
      </c>
      <c r="F56" s="552" t="s">
        <v>1022</v>
      </c>
      <c r="G56" s="295">
        <f>SSR!$E$10</f>
        <v>320</v>
      </c>
      <c r="H56" s="129" t="s">
        <v>20</v>
      </c>
      <c r="I56" s="149">
        <f t="shared" si="1"/>
        <v>444.79999999999995</v>
      </c>
    </row>
    <row r="57" spans="1:10" x14ac:dyDescent="0.2">
      <c r="C57" s="295"/>
      <c r="E57" s="129" t="str">
        <f>+IF($I$4=0%,"---","Municipal allowance")</f>
        <v>Municipal allowance</v>
      </c>
      <c r="G57" s="928">
        <f>$I$4</f>
        <v>0.2</v>
      </c>
      <c r="I57" s="295">
        <f>(I55+I56)*G57</f>
        <v>97.36</v>
      </c>
    </row>
    <row r="58" spans="1:10" ht="13.5" thickBot="1" x14ac:dyDescent="0.25">
      <c r="E58" s="129" t="s">
        <v>2102</v>
      </c>
      <c r="G58" s="1940">
        <f>+$I$5</f>
        <v>0.13614999999999999</v>
      </c>
      <c r="I58" s="295">
        <f>SUM(I48:I57)*G58</f>
        <v>652.17157356482983</v>
      </c>
    </row>
    <row r="59" spans="1:10" ht="13.5" thickBot="1" x14ac:dyDescent="0.25">
      <c r="A59" s="933"/>
      <c r="G59" s="944"/>
      <c r="H59" s="935" t="s">
        <v>1039</v>
      </c>
      <c r="I59" s="936">
        <f>ROUND(SUM(I48:I58),1)</f>
        <v>5442.3</v>
      </c>
    </row>
    <row r="60" spans="1:10" x14ac:dyDescent="0.2">
      <c r="G60" s="155"/>
      <c r="H60" s="189"/>
      <c r="I60" s="941"/>
    </row>
    <row r="61" spans="1:10" x14ac:dyDescent="0.2">
      <c r="B61" s="945">
        <v>5</v>
      </c>
      <c r="C61" s="129" t="s">
        <v>1044</v>
      </c>
    </row>
    <row r="62" spans="1:10" x14ac:dyDescent="0.2">
      <c r="C62" s="129" t="s">
        <v>1045</v>
      </c>
    </row>
    <row r="63" spans="1:10" x14ac:dyDescent="0.2">
      <c r="C63" s="946">
        <v>79.2</v>
      </c>
      <c r="D63" s="946" t="s">
        <v>1027</v>
      </c>
      <c r="E63" s="947" t="s">
        <v>971</v>
      </c>
      <c r="F63" s="552" t="s">
        <v>1022</v>
      </c>
      <c r="G63" s="295">
        <f>Lead!K15</f>
        <v>6400</v>
      </c>
      <c r="H63" s="946" t="s">
        <v>1027</v>
      </c>
      <c r="I63" s="295">
        <f>C63*G63/1000</f>
        <v>506.88</v>
      </c>
    </row>
    <row r="64" spans="1:10" x14ac:dyDescent="0.2">
      <c r="C64" s="946">
        <v>0.44</v>
      </c>
      <c r="D64" s="946" t="s">
        <v>1012</v>
      </c>
      <c r="E64" s="947" t="s">
        <v>1046</v>
      </c>
      <c r="F64" s="552" t="s">
        <v>1022</v>
      </c>
      <c r="G64" s="295">
        <f>Lead!K8</f>
        <v>842.9482735554285</v>
      </c>
      <c r="H64" s="946" t="s">
        <v>1012</v>
      </c>
      <c r="I64" s="295">
        <f t="shared" ref="I64:I69" si="2">C64*G64</f>
        <v>370.89724036438855</v>
      </c>
    </row>
    <row r="65" spans="1:15" x14ac:dyDescent="0.2">
      <c r="C65" s="946">
        <v>0.5</v>
      </c>
      <c r="D65" s="946" t="s">
        <v>1012</v>
      </c>
      <c r="E65" s="947" t="s">
        <v>1047</v>
      </c>
      <c r="F65" s="552" t="s">
        <v>1022</v>
      </c>
      <c r="G65" s="295">
        <f>Lead!K9</f>
        <v>696.74827355542845</v>
      </c>
      <c r="H65" s="946" t="s">
        <v>1012</v>
      </c>
      <c r="I65" s="295">
        <f t="shared" si="2"/>
        <v>348.37413677771423</v>
      </c>
      <c r="K65" s="1928"/>
      <c r="L65" s="1928"/>
      <c r="M65" s="1928"/>
      <c r="N65" s="1928"/>
      <c r="O65" s="1928"/>
    </row>
    <row r="66" spans="1:15" x14ac:dyDescent="0.2">
      <c r="C66" s="946">
        <v>0.16</v>
      </c>
      <c r="D66" s="946" t="s">
        <v>1012</v>
      </c>
      <c r="E66" s="947" t="s">
        <v>1048</v>
      </c>
      <c r="F66" s="552" t="s">
        <v>1022</v>
      </c>
      <c r="G66" s="295">
        <f>Lead!K10</f>
        <v>1915.8982735554284</v>
      </c>
      <c r="H66" s="946" t="s">
        <v>1012</v>
      </c>
      <c r="I66" s="295">
        <f t="shared" si="2"/>
        <v>306.54372376886857</v>
      </c>
      <c r="J66" s="129" t="s">
        <v>1049</v>
      </c>
      <c r="K66" s="1928"/>
      <c r="L66" s="1928"/>
      <c r="M66" s="1928"/>
      <c r="N66" s="1928"/>
      <c r="O66" s="1928"/>
    </row>
    <row r="67" spans="1:15" x14ac:dyDescent="0.2">
      <c r="C67" s="946">
        <v>0.33</v>
      </c>
      <c r="D67" s="946" t="s">
        <v>1012</v>
      </c>
      <c r="E67" s="947" t="s">
        <v>1050</v>
      </c>
      <c r="F67" s="552" t="s">
        <v>1022</v>
      </c>
      <c r="G67" s="295">
        <f>Lead!K12</f>
        <v>1077.7366188443427</v>
      </c>
      <c r="H67" s="946" t="s">
        <v>1012</v>
      </c>
      <c r="I67" s="295">
        <f t="shared" si="2"/>
        <v>355.65308421863313</v>
      </c>
      <c r="K67" s="1928"/>
      <c r="L67" s="1928"/>
      <c r="M67" s="1928"/>
      <c r="N67" s="1928"/>
      <c r="O67" s="1928"/>
    </row>
    <row r="68" spans="1:15" x14ac:dyDescent="0.2">
      <c r="C68" s="946">
        <v>1.2</v>
      </c>
      <c r="D68" s="946" t="s">
        <v>1035</v>
      </c>
      <c r="E68" s="947" t="s">
        <v>1036</v>
      </c>
      <c r="F68" s="552" t="s">
        <v>1022</v>
      </c>
      <c r="G68" s="295">
        <f>SSR!$E$8</f>
        <v>420</v>
      </c>
      <c r="H68" s="946" t="s">
        <v>1035</v>
      </c>
      <c r="I68" s="295">
        <f t="shared" si="2"/>
        <v>504</v>
      </c>
      <c r="K68" s="1928"/>
      <c r="L68" s="1928"/>
      <c r="M68" s="1928"/>
      <c r="N68" s="1928"/>
      <c r="O68" s="1928"/>
    </row>
    <row r="69" spans="1:15" x14ac:dyDescent="0.2">
      <c r="C69" s="946">
        <v>2</v>
      </c>
      <c r="D69" s="946" t="s">
        <v>1035</v>
      </c>
      <c r="E69" s="947" t="s">
        <v>1037</v>
      </c>
      <c r="F69" s="552" t="s">
        <v>1022</v>
      </c>
      <c r="G69" s="295">
        <f>SSR!$E$10</f>
        <v>320</v>
      </c>
      <c r="H69" s="946" t="s">
        <v>1035</v>
      </c>
      <c r="I69" s="551">
        <f t="shared" si="2"/>
        <v>640</v>
      </c>
      <c r="K69" s="1928"/>
      <c r="L69" s="1928"/>
      <c r="M69" s="1928"/>
      <c r="N69" s="1928"/>
      <c r="O69" s="1928"/>
    </row>
    <row r="70" spans="1:15" x14ac:dyDescent="0.2">
      <c r="C70" s="948"/>
      <c r="D70" s="948"/>
      <c r="E70" s="129" t="str">
        <f>+IF($I$4=0%,"---","Municipal allowance")</f>
        <v>Municipal allowance</v>
      </c>
      <c r="G70" s="928">
        <f>$I$4</f>
        <v>0.2</v>
      </c>
      <c r="I70" s="295">
        <f>(I69+I68)*G70</f>
        <v>228.8</v>
      </c>
    </row>
    <row r="71" spans="1:15" ht="13.5" thickBot="1" x14ac:dyDescent="0.25">
      <c r="C71" s="948"/>
      <c r="D71" s="948"/>
      <c r="E71" s="129" t="s">
        <v>2102</v>
      </c>
      <c r="F71" s="552"/>
      <c r="G71" s="1940">
        <f>+$I$5</f>
        <v>0.13614999999999999</v>
      </c>
      <c r="H71" s="948"/>
      <c r="I71" s="149">
        <f>SUM(I63:I70)*G71</f>
        <v>444.00532540539569</v>
      </c>
    </row>
    <row r="72" spans="1:15" ht="13.5" thickBot="1" x14ac:dyDescent="0.25">
      <c r="A72" s="933"/>
      <c r="F72" s="934" t="s">
        <v>1024</v>
      </c>
      <c r="G72" s="935"/>
      <c r="H72" s="935"/>
      <c r="I72" s="936">
        <f>ROUND(SUM(I63:I71),1)</f>
        <v>3705.2</v>
      </c>
    </row>
    <row r="73" spans="1:15" x14ac:dyDescent="0.2">
      <c r="A73" s="933"/>
      <c r="F73" s="189"/>
      <c r="G73" s="189"/>
      <c r="H73" s="189"/>
      <c r="I73" s="941"/>
    </row>
    <row r="74" spans="1:15" x14ac:dyDescent="0.2">
      <c r="B74" s="945">
        <v>6</v>
      </c>
      <c r="C74" s="129" t="s">
        <v>1051</v>
      </c>
    </row>
    <row r="75" spans="1:15" x14ac:dyDescent="0.2">
      <c r="C75" s="129" t="s">
        <v>1045</v>
      </c>
    </row>
    <row r="76" spans="1:15" x14ac:dyDescent="0.2">
      <c r="C76" s="295">
        <v>0.94</v>
      </c>
      <c r="D76" s="129" t="s">
        <v>1012</v>
      </c>
      <c r="E76" s="129" t="s">
        <v>1052</v>
      </c>
      <c r="F76" s="552" t="s">
        <v>1022</v>
      </c>
      <c r="G76" s="295">
        <f>Lead!K8</f>
        <v>842.9482735554285</v>
      </c>
      <c r="H76" s="129" t="s">
        <v>1012</v>
      </c>
      <c r="I76" s="295">
        <f t="shared" ref="I76:I81" si="3">C76*G76</f>
        <v>792.3713771421028</v>
      </c>
    </row>
    <row r="77" spans="1:15" x14ac:dyDescent="0.2">
      <c r="C77" s="295">
        <v>0.16</v>
      </c>
      <c r="D77" s="129" t="s">
        <v>1012</v>
      </c>
      <c r="E77" s="947" t="s">
        <v>1048</v>
      </c>
      <c r="F77" s="552" t="s">
        <v>1022</v>
      </c>
      <c r="G77" s="295">
        <f>G66</f>
        <v>1915.8982735554284</v>
      </c>
      <c r="H77" s="129" t="s">
        <v>1012</v>
      </c>
      <c r="I77" s="295">
        <f t="shared" si="3"/>
        <v>306.54372376886857</v>
      </c>
    </row>
    <row r="78" spans="1:15" x14ac:dyDescent="0.2">
      <c r="C78" s="295">
        <v>0.32</v>
      </c>
      <c r="D78" s="129" t="s">
        <v>1012</v>
      </c>
      <c r="E78" s="129" t="str">
        <f>E67</f>
        <v>Sand for Mortar</v>
      </c>
      <c r="F78" s="552" t="s">
        <v>1022</v>
      </c>
      <c r="G78" s="295">
        <f>Lead!K12</f>
        <v>1077.7366188443427</v>
      </c>
      <c r="H78" s="129" t="s">
        <v>1012</v>
      </c>
      <c r="I78" s="295">
        <f t="shared" si="3"/>
        <v>344.87571803018966</v>
      </c>
    </row>
    <row r="79" spans="1:15" x14ac:dyDescent="0.2">
      <c r="C79" s="295">
        <v>1.5</v>
      </c>
      <c r="D79" s="129" t="s">
        <v>1053</v>
      </c>
      <c r="E79" s="129" t="s">
        <v>1054</v>
      </c>
      <c r="F79" s="552" t="s">
        <v>1022</v>
      </c>
      <c r="G79" s="295">
        <f>SSR!$E$8</f>
        <v>420</v>
      </c>
      <c r="H79" s="129" t="s">
        <v>1030</v>
      </c>
      <c r="I79" s="295">
        <f t="shared" si="3"/>
        <v>630</v>
      </c>
      <c r="J79" s="129" t="s">
        <v>1055</v>
      </c>
    </row>
    <row r="80" spans="1:15" x14ac:dyDescent="0.2">
      <c r="C80" s="552">
        <v>2.3199999999999998</v>
      </c>
      <c r="D80" s="129" t="s">
        <v>1053</v>
      </c>
      <c r="E80" s="129" t="s">
        <v>1056</v>
      </c>
      <c r="F80" s="552" t="s">
        <v>1022</v>
      </c>
      <c r="G80" s="295">
        <f>SSR!$E$10</f>
        <v>320</v>
      </c>
      <c r="H80" s="129" t="s">
        <v>1030</v>
      </c>
      <c r="I80" s="295">
        <f t="shared" si="3"/>
        <v>742.4</v>
      </c>
    </row>
    <row r="81" spans="1:10" x14ac:dyDescent="0.2">
      <c r="C81" s="129">
        <v>7.6799999999999993E-2</v>
      </c>
      <c r="D81" s="129" t="s">
        <v>486</v>
      </c>
      <c r="E81" s="129" t="s">
        <v>1057</v>
      </c>
      <c r="F81" s="552" t="s">
        <v>1022</v>
      </c>
      <c r="G81" s="295">
        <f>Lead!K15</f>
        <v>6400</v>
      </c>
      <c r="H81" s="129" t="s">
        <v>486</v>
      </c>
      <c r="I81" s="551">
        <f t="shared" si="3"/>
        <v>491.52</v>
      </c>
    </row>
    <row r="82" spans="1:10" x14ac:dyDescent="0.2">
      <c r="E82" s="129" t="str">
        <f>+IF($I$4=0%,"---","Municipal allowance")</f>
        <v>Municipal allowance</v>
      </c>
      <c r="G82" s="928">
        <f>$I$4</f>
        <v>0.2</v>
      </c>
      <c r="I82" s="149">
        <f>(I79+I80)*G82</f>
        <v>274.48</v>
      </c>
    </row>
    <row r="83" spans="1:10" ht="13.5" thickBot="1" x14ac:dyDescent="0.25">
      <c r="C83" s="295"/>
      <c r="E83" s="129" t="s">
        <v>2102</v>
      </c>
      <c r="G83" s="1940">
        <f>+$I$5</f>
        <v>0.13614999999999999</v>
      </c>
      <c r="I83" s="295">
        <f>SUM(I76:I82)*G83</f>
        <v>487.71527999883904</v>
      </c>
    </row>
    <row r="84" spans="1:10" ht="13.5" thickBot="1" x14ac:dyDescent="0.25">
      <c r="F84" s="934" t="s">
        <v>1024</v>
      </c>
      <c r="G84" s="935"/>
      <c r="H84" s="935"/>
      <c r="I84" s="936">
        <f>ROUND(SUM(I76:I83),1)</f>
        <v>4069.9</v>
      </c>
    </row>
    <row r="85" spans="1:10" x14ac:dyDescent="0.2">
      <c r="F85" s="189"/>
      <c r="G85" s="189"/>
      <c r="H85" s="189"/>
      <c r="I85" s="941"/>
    </row>
    <row r="86" spans="1:10" x14ac:dyDescent="0.2">
      <c r="B86" s="945">
        <v>7</v>
      </c>
      <c r="C86" s="129" t="s">
        <v>1058</v>
      </c>
    </row>
    <row r="87" spans="1:10" x14ac:dyDescent="0.2">
      <c r="C87" s="129" t="s">
        <v>1059</v>
      </c>
    </row>
    <row r="88" spans="1:10" x14ac:dyDescent="0.2">
      <c r="C88" s="129">
        <v>520</v>
      </c>
      <c r="D88" s="129" t="s">
        <v>1053</v>
      </c>
      <c r="E88" s="129" t="s">
        <v>1060</v>
      </c>
      <c r="F88" s="552" t="s">
        <v>1022</v>
      </c>
      <c r="G88" s="295">
        <f>Lead!K14</f>
        <v>5537.4563706376794</v>
      </c>
      <c r="H88" s="129" t="s">
        <v>1061</v>
      </c>
      <c r="I88" s="295">
        <f>C88*G88/1000</f>
        <v>2879.4773127315934</v>
      </c>
    </row>
    <row r="89" spans="1:10" x14ac:dyDescent="0.2">
      <c r="C89" s="295">
        <v>0.21</v>
      </c>
      <c r="D89" s="129" t="s">
        <v>1012</v>
      </c>
      <c r="E89" s="129" t="str">
        <f>E78</f>
        <v>Sand for Mortar</v>
      </c>
      <c r="F89" s="552" t="s">
        <v>1022</v>
      </c>
      <c r="G89" s="295">
        <f>Lead!K12</f>
        <v>1077.7366188443427</v>
      </c>
      <c r="H89" s="129" t="s">
        <v>1012</v>
      </c>
      <c r="I89" s="295">
        <f>C89*G89</f>
        <v>226.32468995731196</v>
      </c>
    </row>
    <row r="90" spans="1:10" x14ac:dyDescent="0.2">
      <c r="C90" s="129">
        <v>0.24</v>
      </c>
      <c r="D90" s="129" t="s">
        <v>1053</v>
      </c>
      <c r="E90" s="129" t="s">
        <v>1062</v>
      </c>
      <c r="F90" s="552" t="s">
        <v>1022</v>
      </c>
      <c r="G90" s="295">
        <f>SSR!$E$8</f>
        <v>420</v>
      </c>
      <c r="H90" s="129" t="s">
        <v>1030</v>
      </c>
      <c r="I90" s="295">
        <f>C90*G90</f>
        <v>100.8</v>
      </c>
    </row>
    <row r="91" spans="1:10" x14ac:dyDescent="0.2">
      <c r="C91" s="129">
        <v>0.56000000000000005</v>
      </c>
      <c r="D91" s="129" t="s">
        <v>1053</v>
      </c>
      <c r="E91" s="129" t="s">
        <v>1063</v>
      </c>
      <c r="F91" s="552" t="s">
        <v>1022</v>
      </c>
      <c r="G91" s="295">
        <f>SSR!$E$9</f>
        <v>375</v>
      </c>
      <c r="H91" s="129" t="s">
        <v>1030</v>
      </c>
      <c r="I91" s="295">
        <f>C91*G91</f>
        <v>210.00000000000003</v>
      </c>
      <c r="J91" s="129" t="s">
        <v>1064</v>
      </c>
    </row>
    <row r="92" spans="1:10" x14ac:dyDescent="0.2">
      <c r="C92" s="129">
        <v>1.89</v>
      </c>
      <c r="D92" s="129" t="s">
        <v>1053</v>
      </c>
      <c r="E92" s="129" t="s">
        <v>1056</v>
      </c>
      <c r="F92" s="552" t="s">
        <v>1022</v>
      </c>
      <c r="G92" s="949">
        <f>SSR!$E$10</f>
        <v>320</v>
      </c>
      <c r="H92" s="129" t="s">
        <v>1030</v>
      </c>
      <c r="I92" s="295">
        <f>C92*G92</f>
        <v>604.79999999999995</v>
      </c>
    </row>
    <row r="93" spans="1:10" x14ac:dyDescent="0.2">
      <c r="C93" s="129">
        <v>5.04E-2</v>
      </c>
      <c r="D93" s="129" t="s">
        <v>486</v>
      </c>
      <c r="E93" s="129" t="s">
        <v>1057</v>
      </c>
      <c r="F93" s="552" t="s">
        <v>1022</v>
      </c>
      <c r="G93" s="950">
        <f>G81</f>
        <v>6400</v>
      </c>
      <c r="H93" s="129" t="s">
        <v>486</v>
      </c>
      <c r="I93" s="295">
        <f>C93*G93</f>
        <v>322.56</v>
      </c>
    </row>
    <row r="94" spans="1:10" x14ac:dyDescent="0.2">
      <c r="E94" s="129" t="str">
        <f>+IF($I$4=0%,"---","Municipal allowance")</f>
        <v>Municipal allowance</v>
      </c>
      <c r="G94" s="928">
        <f>$I$4</f>
        <v>0.2</v>
      </c>
      <c r="I94" s="295">
        <f>(I90+I91+I92)*G94</f>
        <v>183.12</v>
      </c>
    </row>
    <row r="95" spans="1:10" ht="13.5" thickBot="1" x14ac:dyDescent="0.25">
      <c r="E95" s="129" t="s">
        <v>2102</v>
      </c>
      <c r="F95" s="552"/>
      <c r="G95" s="1940">
        <f>+$I$5</f>
        <v>0.13614999999999999</v>
      </c>
      <c r="I95" s="149">
        <f>SUM(I88:I94)*G95</f>
        <v>616.36221466609447</v>
      </c>
    </row>
    <row r="96" spans="1:10" ht="13.5" thickBot="1" x14ac:dyDescent="0.25">
      <c r="A96" s="951"/>
      <c r="F96" s="934" t="s">
        <v>1024</v>
      </c>
      <c r="G96" s="935"/>
      <c r="H96" s="935"/>
      <c r="I96" s="936">
        <f>ROUND(SUM(I88:I95),1)</f>
        <v>5143.3999999999996</v>
      </c>
    </row>
    <row r="98" spans="2:10" x14ac:dyDescent="0.2">
      <c r="B98" s="324">
        <v>8</v>
      </c>
      <c r="C98" s="129" t="s">
        <v>1065</v>
      </c>
    </row>
    <row r="99" spans="2:10" x14ac:dyDescent="0.2">
      <c r="C99" s="129" t="s">
        <v>1066</v>
      </c>
    </row>
    <row r="100" spans="2:10" ht="14.25" x14ac:dyDescent="0.2">
      <c r="D100" s="434" t="s">
        <v>1067</v>
      </c>
    </row>
    <row r="101" spans="2:10" ht="14.25" x14ac:dyDescent="0.2">
      <c r="C101" s="942">
        <v>0.9</v>
      </c>
      <c r="D101" s="942" t="s">
        <v>1012</v>
      </c>
      <c r="E101" s="129" t="s">
        <v>1068</v>
      </c>
      <c r="F101" s="552" t="s">
        <v>1022</v>
      </c>
      <c r="G101" s="295">
        <f>Lead!K7</f>
        <v>1946.2582735554283</v>
      </c>
      <c r="H101" s="942" t="s">
        <v>1012</v>
      </c>
      <c r="I101" s="295">
        <f>C101*G101</f>
        <v>1751.6324461998856</v>
      </c>
    </row>
    <row r="102" spans="2:10" ht="14.25" x14ac:dyDescent="0.2">
      <c r="C102" s="942">
        <v>0.45</v>
      </c>
      <c r="D102" s="942" t="s">
        <v>1012</v>
      </c>
      <c r="E102" s="129" t="s">
        <v>1029</v>
      </c>
      <c r="F102" s="552" t="s">
        <v>1022</v>
      </c>
      <c r="G102" s="295">
        <f>Lead!K11</f>
        <v>1010.7366188443427</v>
      </c>
      <c r="H102" s="942" t="s">
        <v>1012</v>
      </c>
      <c r="I102" s="295">
        <f t="shared" ref="I102:I110" si="4">C102*G102</f>
        <v>454.83147847995423</v>
      </c>
    </row>
    <row r="103" spans="2:10" ht="14.25" x14ac:dyDescent="0.2">
      <c r="C103" s="942">
        <v>400</v>
      </c>
      <c r="D103" s="942" t="s">
        <v>1069</v>
      </c>
      <c r="E103" s="129" t="s">
        <v>971</v>
      </c>
      <c r="F103" s="552" t="s">
        <v>1022</v>
      </c>
      <c r="G103" s="295">
        <f>Lead!K15</f>
        <v>6400</v>
      </c>
      <c r="H103" s="942" t="s">
        <v>1069</v>
      </c>
      <c r="I103" s="295">
        <f>C103*G103/1000</f>
        <v>2560</v>
      </c>
    </row>
    <row r="104" spans="2:10" ht="14.25" x14ac:dyDescent="0.2">
      <c r="C104" s="942">
        <v>0.13300000000000001</v>
      </c>
      <c r="D104" s="942" t="s">
        <v>1035</v>
      </c>
      <c r="E104" s="129" t="s">
        <v>1070</v>
      </c>
      <c r="F104" s="552" t="s">
        <v>1022</v>
      </c>
      <c r="G104" s="295">
        <f>SSR!$E$8</f>
        <v>420</v>
      </c>
      <c r="H104" s="942" t="s">
        <v>1035</v>
      </c>
      <c r="I104" s="295">
        <f t="shared" si="4"/>
        <v>55.86</v>
      </c>
    </row>
    <row r="105" spans="2:10" ht="14.25" x14ac:dyDescent="0.2">
      <c r="C105" s="942">
        <v>0.26700000000000002</v>
      </c>
      <c r="D105" s="942" t="s">
        <v>1035</v>
      </c>
      <c r="E105" s="129" t="s">
        <v>1071</v>
      </c>
      <c r="F105" s="552" t="s">
        <v>1022</v>
      </c>
      <c r="G105" s="295">
        <f>SSR!$E$9</f>
        <v>375</v>
      </c>
      <c r="H105" s="942" t="s">
        <v>1035</v>
      </c>
      <c r="I105" s="295">
        <f t="shared" si="4"/>
        <v>100.125</v>
      </c>
    </row>
    <row r="106" spans="2:10" ht="14.25" x14ac:dyDescent="0.2">
      <c r="C106" s="942">
        <v>3.6</v>
      </c>
      <c r="D106" s="942" t="s">
        <v>1035</v>
      </c>
      <c r="E106" s="129" t="s">
        <v>1072</v>
      </c>
      <c r="F106" s="552" t="s">
        <v>1022</v>
      </c>
      <c r="G106" s="295">
        <f>SSR!$E$10</f>
        <v>320</v>
      </c>
      <c r="H106" s="942" t="s">
        <v>1035</v>
      </c>
      <c r="I106" s="295">
        <f t="shared" si="4"/>
        <v>1152</v>
      </c>
    </row>
    <row r="107" spans="2:10" ht="14.25" x14ac:dyDescent="0.2">
      <c r="C107" s="942">
        <v>1</v>
      </c>
      <c r="D107" s="942" t="s">
        <v>1034</v>
      </c>
      <c r="E107" s="129" t="s">
        <v>940</v>
      </c>
      <c r="F107" s="552" t="s">
        <v>1022</v>
      </c>
      <c r="G107" s="295">
        <f>SSR!$E$32</f>
        <v>338.6</v>
      </c>
      <c r="H107" s="942" t="s">
        <v>1034</v>
      </c>
      <c r="I107" s="295">
        <f t="shared" si="4"/>
        <v>338.6</v>
      </c>
      <c r="J107" s="129" t="s">
        <v>1073</v>
      </c>
    </row>
    <row r="108" spans="2:10" ht="14.25" x14ac:dyDescent="0.2">
      <c r="C108" s="942">
        <v>0.13300000000000001</v>
      </c>
      <c r="D108" s="942" t="s">
        <v>1074</v>
      </c>
      <c r="E108" s="129" t="s">
        <v>943</v>
      </c>
      <c r="F108" s="552" t="s">
        <v>1022</v>
      </c>
      <c r="G108" s="295">
        <f>SSR!E33</f>
        <v>57</v>
      </c>
      <c r="H108" s="942" t="s">
        <v>1074</v>
      </c>
      <c r="I108" s="295">
        <f t="shared" si="4"/>
        <v>7.5810000000000004</v>
      </c>
    </row>
    <row r="109" spans="2:10" ht="14.25" x14ac:dyDescent="0.2">
      <c r="C109" s="942">
        <v>0.66700000000000004</v>
      </c>
      <c r="D109" s="942" t="s">
        <v>1074</v>
      </c>
      <c r="E109" s="129" t="s">
        <v>1075</v>
      </c>
      <c r="G109" s="295">
        <f>SSR!E34</f>
        <v>69</v>
      </c>
      <c r="H109" s="942" t="s">
        <v>1074</v>
      </c>
      <c r="I109" s="295">
        <f t="shared" si="4"/>
        <v>46.023000000000003</v>
      </c>
    </row>
    <row r="110" spans="2:10" ht="14.25" x14ac:dyDescent="0.2">
      <c r="C110" s="942">
        <v>1.2</v>
      </c>
      <c r="D110" s="942" t="s">
        <v>1031</v>
      </c>
      <c r="E110" s="129" t="s">
        <v>1032</v>
      </c>
      <c r="G110" s="295">
        <f>SSR!$E$18</f>
        <v>77</v>
      </c>
      <c r="H110" s="942" t="s">
        <v>1031</v>
      </c>
      <c r="I110" s="295">
        <f t="shared" si="4"/>
        <v>92.399999999999991</v>
      </c>
    </row>
    <row r="111" spans="2:10" ht="14.25" x14ac:dyDescent="0.2">
      <c r="C111" s="942"/>
      <c r="D111" s="942"/>
      <c r="E111" s="129" t="str">
        <f>+IF($I$4=0%,"---","Municipal allowance")</f>
        <v>Municipal allowance</v>
      </c>
      <c r="G111" s="928">
        <f>$I$4</f>
        <v>0.2</v>
      </c>
      <c r="H111" s="942"/>
      <c r="I111" s="295">
        <f>(I104+I105+I106)*G111</f>
        <v>261.59700000000004</v>
      </c>
    </row>
    <row r="112" spans="2:10" ht="14.25" x14ac:dyDescent="0.2">
      <c r="C112" s="942"/>
      <c r="D112" s="942"/>
      <c r="E112" s="129" t="s">
        <v>2102</v>
      </c>
      <c r="G112" s="1940">
        <f>+$I$5</f>
        <v>0.13614999999999999</v>
      </c>
      <c r="H112" s="942"/>
      <c r="I112" s="149">
        <f>ROUND(SUM(I101:I111)*G112,2)</f>
        <v>928.63</v>
      </c>
    </row>
    <row r="113" spans="2:10" x14ac:dyDescent="0.2">
      <c r="C113" s="295"/>
      <c r="F113" s="952" t="s">
        <v>1076</v>
      </c>
      <c r="G113" s="953"/>
      <c r="H113" s="953"/>
      <c r="I113" s="954">
        <f>ROUND(SUM(I101:I112),1)</f>
        <v>7749.3</v>
      </c>
    </row>
    <row r="114" spans="2:10" x14ac:dyDescent="0.2">
      <c r="F114" s="189"/>
      <c r="G114" s="189"/>
      <c r="H114" s="189"/>
      <c r="I114" s="941"/>
    </row>
    <row r="115" spans="2:10" ht="14.25" x14ac:dyDescent="0.2">
      <c r="B115" s="324">
        <v>9</v>
      </c>
      <c r="D115" s="434" t="s">
        <v>1077</v>
      </c>
      <c r="F115" s="189"/>
      <c r="G115" s="189"/>
      <c r="H115" s="189"/>
      <c r="I115" s="941"/>
    </row>
    <row r="116" spans="2:10" ht="14.25" x14ac:dyDescent="0.2">
      <c r="C116" s="942">
        <v>0.9</v>
      </c>
      <c r="D116" s="942" t="s">
        <v>1012</v>
      </c>
      <c r="E116" s="129" t="s">
        <v>1068</v>
      </c>
      <c r="F116" s="189"/>
      <c r="G116" s="955">
        <f>G101</f>
        <v>1946.2582735554283</v>
      </c>
      <c r="H116" s="942" t="s">
        <v>1012</v>
      </c>
      <c r="I116" s="295">
        <f>C116*G116</f>
        <v>1751.6324461998856</v>
      </c>
    </row>
    <row r="117" spans="2:10" ht="14.25" x14ac:dyDescent="0.2">
      <c r="C117" s="942">
        <v>0.45</v>
      </c>
      <c r="D117" s="942" t="s">
        <v>1012</v>
      </c>
      <c r="E117" s="129" t="str">
        <f>E102</f>
        <v>Sand for concrete</v>
      </c>
      <c r="F117" s="189"/>
      <c r="G117" s="955">
        <f>G102</f>
        <v>1010.7366188443427</v>
      </c>
      <c r="H117" s="942" t="s">
        <v>1012</v>
      </c>
      <c r="I117" s="295">
        <f t="shared" ref="I117:I123" si="5">C117*G117</f>
        <v>454.83147847995423</v>
      </c>
    </row>
    <row r="118" spans="2:10" ht="14.25" x14ac:dyDescent="0.2">
      <c r="C118" s="956">
        <v>400</v>
      </c>
      <c r="D118" s="942" t="s">
        <v>1069</v>
      </c>
      <c r="E118" s="129" t="s">
        <v>971</v>
      </c>
      <c r="F118" s="189"/>
      <c r="G118" s="955">
        <f>G103</f>
        <v>6400</v>
      </c>
      <c r="H118" s="942" t="s">
        <v>1069</v>
      </c>
      <c r="I118" s="295">
        <f>C118*G118/1000</f>
        <v>2560</v>
      </c>
    </row>
    <row r="119" spans="2:10" ht="14.25" x14ac:dyDescent="0.2">
      <c r="C119" s="942">
        <v>0.16700000000000001</v>
      </c>
      <c r="D119" s="942" t="s">
        <v>1035</v>
      </c>
      <c r="E119" s="129" t="s">
        <v>1070</v>
      </c>
      <c r="F119" s="189"/>
      <c r="G119" s="295">
        <f>SSR!$E$8</f>
        <v>420</v>
      </c>
      <c r="H119" s="942" t="s">
        <v>1035</v>
      </c>
      <c r="I119" s="295">
        <f t="shared" si="5"/>
        <v>70.14</v>
      </c>
    </row>
    <row r="120" spans="2:10" ht="14.25" x14ac:dyDescent="0.2">
      <c r="C120" s="942">
        <v>0.16700000000000001</v>
      </c>
      <c r="D120" s="942" t="s">
        <v>1035</v>
      </c>
      <c r="E120" s="129" t="s">
        <v>1071</v>
      </c>
      <c r="F120" s="189"/>
      <c r="G120" s="295">
        <f>SSR!$E$9</f>
        <v>375</v>
      </c>
      <c r="H120" s="942" t="s">
        <v>1035</v>
      </c>
      <c r="I120" s="295">
        <f t="shared" si="5"/>
        <v>62.625000000000007</v>
      </c>
    </row>
    <row r="121" spans="2:10" ht="14.25" x14ac:dyDescent="0.2">
      <c r="C121" s="942">
        <v>4.7</v>
      </c>
      <c r="D121" s="942" t="s">
        <v>1035</v>
      </c>
      <c r="E121" s="129" t="s">
        <v>1072</v>
      </c>
      <c r="F121" s="189"/>
      <c r="G121" s="295">
        <f>SSR!$E$10</f>
        <v>320</v>
      </c>
      <c r="H121" s="942" t="s">
        <v>1035</v>
      </c>
      <c r="I121" s="295">
        <f t="shared" si="5"/>
        <v>1504</v>
      </c>
      <c r="J121" s="129" t="s">
        <v>1078</v>
      </c>
    </row>
    <row r="122" spans="2:10" ht="14.25" x14ac:dyDescent="0.2">
      <c r="C122" s="942">
        <v>1</v>
      </c>
      <c r="D122" s="942" t="s">
        <v>1034</v>
      </c>
      <c r="E122" s="129" t="s">
        <v>940</v>
      </c>
      <c r="F122" s="189"/>
      <c r="G122" s="295">
        <f>SSR!$E$32</f>
        <v>338.6</v>
      </c>
      <c r="H122" s="942" t="s">
        <v>1034</v>
      </c>
      <c r="I122" s="295">
        <f t="shared" si="5"/>
        <v>338.6</v>
      </c>
    </row>
    <row r="123" spans="2:10" ht="14.25" x14ac:dyDescent="0.2">
      <c r="C123" s="942">
        <v>1.2</v>
      </c>
      <c r="D123" s="942" t="s">
        <v>1031</v>
      </c>
      <c r="E123" s="129" t="s">
        <v>1032</v>
      </c>
      <c r="F123" s="189"/>
      <c r="G123" s="295">
        <f>SSR!$E$18</f>
        <v>77</v>
      </c>
      <c r="H123" s="942" t="s">
        <v>1031</v>
      </c>
      <c r="I123" s="295">
        <f t="shared" si="5"/>
        <v>92.399999999999991</v>
      </c>
    </row>
    <row r="124" spans="2:10" ht="14.25" x14ac:dyDescent="0.2">
      <c r="C124" s="942"/>
      <c r="D124" s="942"/>
      <c r="E124" s="129" t="str">
        <f>+IF($I$4=0%,"---","Municipal allowance")</f>
        <v>Municipal allowance</v>
      </c>
      <c r="G124" s="928">
        <f>$I$4</f>
        <v>0.2</v>
      </c>
      <c r="H124" s="942"/>
      <c r="I124" s="295">
        <f>(I119+I120+I121)*G124</f>
        <v>327.35300000000007</v>
      </c>
    </row>
    <row r="125" spans="2:10" ht="14.25" x14ac:dyDescent="0.2">
      <c r="C125" s="942"/>
      <c r="D125" s="942"/>
      <c r="E125" s="129" t="s">
        <v>2102</v>
      </c>
      <c r="G125" s="1940">
        <f>+$I$5</f>
        <v>0.13614999999999999</v>
      </c>
      <c r="H125" s="942"/>
      <c r="I125" s="149">
        <f>ROUND(SUM(I116:I124)*G125,2)</f>
        <v>975.05</v>
      </c>
    </row>
    <row r="126" spans="2:10" x14ac:dyDescent="0.2">
      <c r="F126" s="189"/>
      <c r="G126" s="189"/>
      <c r="H126" s="189"/>
      <c r="I126" s="954">
        <f>ROUND(SUM(I116:I125),1)</f>
        <v>8136.6</v>
      </c>
    </row>
    <row r="127" spans="2:10" x14ac:dyDescent="0.2">
      <c r="F127" s="189"/>
      <c r="G127" s="189"/>
      <c r="H127" s="189"/>
      <c r="I127" s="941"/>
    </row>
    <row r="128" spans="2:10" ht="14.25" x14ac:dyDescent="0.2">
      <c r="B128" s="324">
        <v>10</v>
      </c>
      <c r="D128" s="434" t="s">
        <v>1079</v>
      </c>
      <c r="F128" s="189"/>
      <c r="G128" s="189"/>
      <c r="H128" s="189"/>
      <c r="I128" s="941"/>
    </row>
    <row r="129" spans="2:10" ht="14.25" x14ac:dyDescent="0.2">
      <c r="C129" s="942">
        <v>0.9</v>
      </c>
      <c r="D129" s="942" t="s">
        <v>1012</v>
      </c>
      <c r="E129" s="129" t="s">
        <v>1068</v>
      </c>
      <c r="F129" s="189"/>
      <c r="G129" s="955">
        <f t="shared" ref="G129:G134" si="6">G116</f>
        <v>1946.2582735554283</v>
      </c>
      <c r="H129" s="942" t="s">
        <v>1012</v>
      </c>
      <c r="I129" s="295">
        <f>C129*G129</f>
        <v>1751.6324461998856</v>
      </c>
    </row>
    <row r="130" spans="2:10" ht="14.25" x14ac:dyDescent="0.2">
      <c r="C130" s="942">
        <v>0.45</v>
      </c>
      <c r="D130" s="942" t="s">
        <v>1012</v>
      </c>
      <c r="E130" s="129" t="str">
        <f>E117</f>
        <v>Sand for concrete</v>
      </c>
      <c r="F130" s="189"/>
      <c r="G130" s="955">
        <f t="shared" si="6"/>
        <v>1010.7366188443427</v>
      </c>
      <c r="H130" s="942" t="s">
        <v>1012</v>
      </c>
      <c r="I130" s="295">
        <f t="shared" ref="I130:I136" si="7">C130*G130</f>
        <v>454.83147847995423</v>
      </c>
    </row>
    <row r="131" spans="2:10" ht="14.25" x14ac:dyDescent="0.2">
      <c r="C131" s="956">
        <v>400</v>
      </c>
      <c r="D131" s="942" t="s">
        <v>1069</v>
      </c>
      <c r="E131" s="129" t="s">
        <v>971</v>
      </c>
      <c r="F131" s="189"/>
      <c r="G131" s="955">
        <f t="shared" si="6"/>
        <v>6400</v>
      </c>
      <c r="H131" s="942" t="s">
        <v>1069</v>
      </c>
      <c r="I131" s="295">
        <f>C131*G131/1000</f>
        <v>2560</v>
      </c>
    </row>
    <row r="132" spans="2:10" ht="14.25" x14ac:dyDescent="0.2">
      <c r="C132" s="942">
        <v>6.7000000000000004E-2</v>
      </c>
      <c r="D132" s="942" t="s">
        <v>1035</v>
      </c>
      <c r="E132" s="129" t="s">
        <v>1070</v>
      </c>
      <c r="F132" s="189"/>
      <c r="G132" s="957">
        <f t="shared" si="6"/>
        <v>420</v>
      </c>
      <c r="H132" s="942" t="s">
        <v>1035</v>
      </c>
      <c r="I132" s="295">
        <f t="shared" si="7"/>
        <v>28.14</v>
      </c>
    </row>
    <row r="133" spans="2:10" ht="14.25" x14ac:dyDescent="0.2">
      <c r="C133" s="942">
        <v>0.13300000000000001</v>
      </c>
      <c r="D133" s="942" t="s">
        <v>1035</v>
      </c>
      <c r="E133" s="129" t="s">
        <v>1071</v>
      </c>
      <c r="F133" s="189"/>
      <c r="G133" s="957">
        <f t="shared" si="6"/>
        <v>375</v>
      </c>
      <c r="H133" s="942" t="s">
        <v>1035</v>
      </c>
      <c r="I133" s="295">
        <f t="shared" si="7"/>
        <v>49.875</v>
      </c>
    </row>
    <row r="134" spans="2:10" ht="14.25" x14ac:dyDescent="0.2">
      <c r="C134" s="942">
        <v>2.5</v>
      </c>
      <c r="D134" s="942" t="s">
        <v>1035</v>
      </c>
      <c r="E134" s="129" t="s">
        <v>1072</v>
      </c>
      <c r="F134" s="189"/>
      <c r="G134" s="957">
        <f t="shared" si="6"/>
        <v>320</v>
      </c>
      <c r="H134" s="942" t="s">
        <v>1035</v>
      </c>
      <c r="I134" s="295">
        <f t="shared" si="7"/>
        <v>800</v>
      </c>
      <c r="J134" s="129" t="s">
        <v>1080</v>
      </c>
    </row>
    <row r="135" spans="2:10" ht="14.25" x14ac:dyDescent="0.2">
      <c r="C135" s="942">
        <v>0.26700000000000002</v>
      </c>
      <c r="D135" s="942" t="s">
        <v>1034</v>
      </c>
      <c r="E135" s="129" t="s">
        <v>940</v>
      </c>
      <c r="F135" s="189"/>
      <c r="G135" s="295">
        <f>SSR!$E$32</f>
        <v>338.6</v>
      </c>
      <c r="H135" s="942" t="s">
        <v>1034</v>
      </c>
      <c r="I135" s="295">
        <f t="shared" si="7"/>
        <v>90.406200000000013</v>
      </c>
    </row>
    <row r="136" spans="2:10" ht="14.25" x14ac:dyDescent="0.2">
      <c r="C136" s="942">
        <v>1.2</v>
      </c>
      <c r="D136" s="942" t="s">
        <v>1031</v>
      </c>
      <c r="E136" s="129" t="s">
        <v>1032</v>
      </c>
      <c r="F136" s="189"/>
      <c r="G136" s="295">
        <f>SSR!$E$18</f>
        <v>77</v>
      </c>
      <c r="H136" s="942" t="s">
        <v>1031</v>
      </c>
      <c r="I136" s="295">
        <f t="shared" si="7"/>
        <v>92.399999999999991</v>
      </c>
    </row>
    <row r="137" spans="2:10" ht="14.25" x14ac:dyDescent="0.2">
      <c r="C137" s="942"/>
      <c r="D137" s="942"/>
      <c r="E137" s="129" t="str">
        <f>+IF($I$4=0%,"---","Municipal allowance")</f>
        <v>Municipal allowance</v>
      </c>
      <c r="G137" s="928">
        <f>$I$4</f>
        <v>0.2</v>
      </c>
      <c r="H137" s="942"/>
      <c r="I137" s="295">
        <f>(I132+I133+I134)*G137</f>
        <v>175.60300000000001</v>
      </c>
    </row>
    <row r="138" spans="2:10" ht="14.25" x14ac:dyDescent="0.2">
      <c r="C138" s="942"/>
      <c r="D138" s="942"/>
      <c r="E138" s="129" t="s">
        <v>2102</v>
      </c>
      <c r="G138" s="1940">
        <f>+$I$5</f>
        <v>0.13614999999999999</v>
      </c>
      <c r="H138" s="942"/>
      <c r="I138" s="149">
        <f>ROUND(SUM(I129:I137)*G138,2)</f>
        <v>817.29</v>
      </c>
    </row>
    <row r="139" spans="2:10" x14ac:dyDescent="0.2">
      <c r="F139" s="189"/>
      <c r="G139" s="189"/>
      <c r="H139" s="189"/>
      <c r="I139" s="954">
        <f>ROUND(SUM(I129:I138),1)</f>
        <v>6820.2</v>
      </c>
    </row>
    <row r="140" spans="2:10" x14ac:dyDescent="0.2">
      <c r="B140" s="324">
        <v>11</v>
      </c>
      <c r="D140" s="139" t="s">
        <v>1081</v>
      </c>
      <c r="F140" s="189"/>
      <c r="G140" s="189"/>
      <c r="H140" s="189"/>
      <c r="I140" s="941"/>
    </row>
    <row r="141" spans="2:10" ht="30" customHeight="1" x14ac:dyDescent="0.2">
      <c r="B141" s="958"/>
      <c r="C141" s="2062" t="s">
        <v>1082</v>
      </c>
      <c r="D141" s="2062"/>
      <c r="E141" s="2062"/>
      <c r="F141" s="2062"/>
      <c r="G141" s="2062"/>
      <c r="H141" s="2062"/>
      <c r="I141" s="2062"/>
    </row>
    <row r="142" spans="2:10" x14ac:dyDescent="0.2">
      <c r="D142" s="959">
        <f>'Pump House'!I8*1000</f>
        <v>150</v>
      </c>
      <c r="E142" s="129" t="s">
        <v>1083</v>
      </c>
    </row>
    <row r="143" spans="2:10" x14ac:dyDescent="0.2">
      <c r="C143" s="295">
        <f>+(D142/1000)*10</f>
        <v>1.5</v>
      </c>
      <c r="D143" s="129" t="s">
        <v>20</v>
      </c>
      <c r="E143" s="129" t="s">
        <v>1084</v>
      </c>
      <c r="F143" s="295">
        <f>+I139</f>
        <v>6820.2</v>
      </c>
      <c r="G143" s="515">
        <v>1</v>
      </c>
      <c r="H143" s="515" t="s">
        <v>1012</v>
      </c>
      <c r="I143" s="295">
        <f>+F143*C143</f>
        <v>10230.299999999999</v>
      </c>
    </row>
    <row r="144" spans="2:10" x14ac:dyDescent="0.2">
      <c r="C144" s="295">
        <v>10</v>
      </c>
      <c r="D144" s="129" t="s">
        <v>1085</v>
      </c>
      <c r="E144" s="129" t="s">
        <v>1086</v>
      </c>
      <c r="F144" s="960">
        <f>SSR!E4</f>
        <v>389</v>
      </c>
      <c r="G144" s="515">
        <v>1</v>
      </c>
      <c r="H144" s="515" t="s">
        <v>1087</v>
      </c>
      <c r="I144" s="295">
        <f>+F144*C144</f>
        <v>3890</v>
      </c>
    </row>
    <row r="145" spans="1:12" x14ac:dyDescent="0.2">
      <c r="C145" s="295"/>
      <c r="E145" s="536" t="str">
        <f>+IF($I$4=0%,"---","Municipal allowance")</f>
        <v>Municipal allowance</v>
      </c>
      <c r="F145" s="928">
        <f>+$I$4</f>
        <v>0.2</v>
      </c>
      <c r="G145" s="515"/>
      <c r="H145" s="515"/>
      <c r="I145" s="295">
        <f>I144*0.25*F145</f>
        <v>194.5</v>
      </c>
    </row>
    <row r="146" spans="1:12" x14ac:dyDescent="0.2">
      <c r="C146" s="295"/>
      <c r="E146" s="129" t="s">
        <v>2102</v>
      </c>
      <c r="F146" s="295"/>
      <c r="G146" s="1940">
        <f>+$I$5</f>
        <v>0.13614999999999999</v>
      </c>
      <c r="I146" s="149">
        <f>(I145+I144)*G146</f>
        <v>556.10467499999993</v>
      </c>
    </row>
    <row r="147" spans="1:12" ht="13.5" thickBot="1" x14ac:dyDescent="0.25">
      <c r="E147" s="536" t="s">
        <v>1088</v>
      </c>
      <c r="F147" s="295"/>
      <c r="I147" s="295"/>
    </row>
    <row r="148" spans="1:12" ht="13.5" thickBot="1" x14ac:dyDescent="0.25">
      <c r="A148" s="933"/>
      <c r="B148" s="961"/>
      <c r="H148" s="417" t="s">
        <v>1089</v>
      </c>
      <c r="I148" s="936">
        <f>ROUND(SUM(I143:I147),1)</f>
        <v>14870.9</v>
      </c>
    </row>
    <row r="149" spans="1:12" x14ac:dyDescent="0.2">
      <c r="H149" s="962"/>
      <c r="I149" s="941"/>
    </row>
    <row r="150" spans="1:12" x14ac:dyDescent="0.2">
      <c r="D150" s="139" t="s">
        <v>1090</v>
      </c>
      <c r="F150" s="189"/>
      <c r="G150" s="189"/>
      <c r="H150" s="189"/>
      <c r="I150" s="941"/>
    </row>
    <row r="151" spans="1:12" ht="27.75" customHeight="1" x14ac:dyDescent="0.2">
      <c r="B151" s="324">
        <v>12</v>
      </c>
      <c r="C151" s="2062" t="s">
        <v>1091</v>
      </c>
      <c r="D151" s="2062"/>
      <c r="E151" s="2062"/>
      <c r="F151" s="2062"/>
      <c r="G151" s="2062"/>
      <c r="H151" s="2062"/>
      <c r="I151" s="2062"/>
    </row>
    <row r="152" spans="1:12" x14ac:dyDescent="0.2">
      <c r="D152" s="959">
        <v>125</v>
      </c>
      <c r="E152" s="129" t="s">
        <v>1083</v>
      </c>
    </row>
    <row r="153" spans="1:12" x14ac:dyDescent="0.2">
      <c r="C153" s="295">
        <f>+(D152/1000)*10</f>
        <v>1.25</v>
      </c>
      <c r="D153" s="129" t="s">
        <v>20</v>
      </c>
      <c r="E153" s="129" t="s">
        <v>1084</v>
      </c>
      <c r="F153" s="295">
        <f>+I139</f>
        <v>6820.2</v>
      </c>
      <c r="G153" s="515">
        <v>1</v>
      </c>
      <c r="H153" s="515" t="s">
        <v>1012</v>
      </c>
      <c r="I153" s="295">
        <f>+F153*C153</f>
        <v>8525.25</v>
      </c>
    </row>
    <row r="154" spans="1:12" x14ac:dyDescent="0.2">
      <c r="C154" s="295">
        <v>10</v>
      </c>
      <c r="D154" s="129" t="s">
        <v>1085</v>
      </c>
      <c r="E154" s="129" t="s">
        <v>1086</v>
      </c>
      <c r="F154" s="960">
        <f>SSR!E4</f>
        <v>389</v>
      </c>
      <c r="G154" s="515">
        <v>1</v>
      </c>
      <c r="H154" s="515" t="s">
        <v>1087</v>
      </c>
      <c r="I154" s="295">
        <f>+F154*C154</f>
        <v>3890</v>
      </c>
    </row>
    <row r="155" spans="1:12" x14ac:dyDescent="0.2">
      <c r="C155" s="295"/>
      <c r="E155" s="129" t="str">
        <f>+IF($I$4=0%,"---","Municipal allowance")</f>
        <v>Municipal allowance</v>
      </c>
      <c r="F155" s="928">
        <f>+$I$4</f>
        <v>0.2</v>
      </c>
      <c r="G155" s="515"/>
      <c r="H155" s="515"/>
      <c r="I155" s="295">
        <f>I154*0.25*F155</f>
        <v>194.5</v>
      </c>
    </row>
    <row r="156" spans="1:12" x14ac:dyDescent="0.2">
      <c r="C156" s="295"/>
      <c r="E156" s="129" t="s">
        <v>2102</v>
      </c>
      <c r="F156" s="295"/>
      <c r="G156" s="1940">
        <f>+$I$5</f>
        <v>0.13614999999999999</v>
      </c>
      <c r="I156" s="149">
        <f>(I155+I154)*G156</f>
        <v>556.10467499999993</v>
      </c>
    </row>
    <row r="157" spans="1:12" ht="13.5" thickBot="1" x14ac:dyDescent="0.25">
      <c r="E157" s="536" t="s">
        <v>1088</v>
      </c>
      <c r="F157" s="295"/>
      <c r="I157" s="295"/>
    </row>
    <row r="158" spans="1:12" ht="13.5" thickBot="1" x14ac:dyDescent="0.25">
      <c r="B158" s="963"/>
      <c r="H158" s="417" t="s">
        <v>1089</v>
      </c>
      <c r="I158" s="936">
        <f>ROUND(SUM(I153:I157),1)</f>
        <v>13165.9</v>
      </c>
    </row>
    <row r="160" spans="1:12" ht="38.25" x14ac:dyDescent="0.2">
      <c r="B160" s="964">
        <v>13</v>
      </c>
      <c r="C160" s="965" t="s">
        <v>1092</v>
      </c>
      <c r="D160" s="966" t="s">
        <v>1093</v>
      </c>
      <c r="E160" s="967" t="s">
        <v>1094</v>
      </c>
      <c r="F160" s="965" t="s">
        <v>1095</v>
      </c>
      <c r="G160" s="968" t="str">
        <f>+CONCATENATE(+IF(I4=0%," ","Add MA"), IF(I4=0%,"Cont Profit","and cont profit  "), I5*100,"%")</f>
        <v>Add MAand cont profit  13.615%</v>
      </c>
      <c r="H160" s="965" t="s">
        <v>1096</v>
      </c>
      <c r="I160" s="965" t="s">
        <v>401</v>
      </c>
      <c r="K160" s="969"/>
      <c r="L160" s="969"/>
    </row>
    <row r="161" spans="1:15" x14ac:dyDescent="0.2">
      <c r="A161" s="933"/>
      <c r="B161" s="678" t="s">
        <v>1097</v>
      </c>
      <c r="C161" s="2070" t="s">
        <v>1098</v>
      </c>
      <c r="D161" s="2071"/>
      <c r="E161" s="970">
        <f>$I$113</f>
        <v>7749.3</v>
      </c>
      <c r="F161" s="970">
        <f>SSR!E6</f>
        <v>750</v>
      </c>
      <c r="G161" s="970">
        <f>((F161*$I$4*0.25)+(F161))*$I$5+(F161*$I$4*0.25)</f>
        <v>144.71812499999999</v>
      </c>
      <c r="H161" s="970">
        <f t="shared" ref="H161:H172" si="8">ROUND(F161+E161+G161,1)</f>
        <v>8644</v>
      </c>
      <c r="I161" s="413" t="s">
        <v>1099</v>
      </c>
      <c r="L161" s="295"/>
    </row>
    <row r="162" spans="1:15" x14ac:dyDescent="0.2">
      <c r="A162" s="933"/>
      <c r="B162" s="678" t="s">
        <v>1097</v>
      </c>
      <c r="C162" s="2070" t="s">
        <v>537</v>
      </c>
      <c r="D162" s="2071"/>
      <c r="E162" s="970">
        <f>$I$126</f>
        <v>8136.6</v>
      </c>
      <c r="F162" s="970">
        <f>SSR!E23</f>
        <v>2041</v>
      </c>
      <c r="G162" s="970">
        <f t="shared" ref="G162:G172" si="9">((F162*$I$4*0.25)+(F162))*$I$5+(F162*$I$4*0.25)</f>
        <v>393.8262575</v>
      </c>
      <c r="H162" s="970">
        <f t="shared" si="8"/>
        <v>10571.4</v>
      </c>
      <c r="I162" s="413" t="s">
        <v>1099</v>
      </c>
    </row>
    <row r="163" spans="1:15" x14ac:dyDescent="0.2">
      <c r="B163" s="678" t="s">
        <v>1097</v>
      </c>
      <c r="C163" s="2070" t="s">
        <v>2177</v>
      </c>
      <c r="D163" s="2071"/>
      <c r="E163" s="970">
        <f>$I$126</f>
        <v>8136.6</v>
      </c>
      <c r="F163" s="1968">
        <f>SSR!E24</f>
        <v>2381</v>
      </c>
      <c r="G163" s="970">
        <f t="shared" si="9"/>
        <v>459.43180750000005</v>
      </c>
      <c r="H163" s="970">
        <f t="shared" si="8"/>
        <v>10977</v>
      </c>
      <c r="I163" s="413" t="s">
        <v>1099</v>
      </c>
      <c r="O163" s="295"/>
    </row>
    <row r="164" spans="1:15" x14ac:dyDescent="0.2">
      <c r="A164" s="933"/>
      <c r="B164" s="678" t="s">
        <v>1097</v>
      </c>
      <c r="C164" s="2070" t="s">
        <v>924</v>
      </c>
      <c r="D164" s="2071"/>
      <c r="E164" s="970">
        <f>I139</f>
        <v>6820.2</v>
      </c>
      <c r="F164" s="970">
        <f>SSR!$E$20</f>
        <v>3428</v>
      </c>
      <c r="G164" s="970">
        <f t="shared" si="9"/>
        <v>661.45830999999998</v>
      </c>
      <c r="H164" s="970">
        <f t="shared" si="8"/>
        <v>10909.7</v>
      </c>
      <c r="I164" s="413" t="s">
        <v>1099</v>
      </c>
    </row>
    <row r="165" spans="1:15" x14ac:dyDescent="0.2">
      <c r="B165" s="678" t="s">
        <v>1097</v>
      </c>
      <c r="C165" s="2070" t="s">
        <v>931</v>
      </c>
      <c r="D165" s="2071"/>
      <c r="E165" s="970">
        <f>E164</f>
        <v>6820.2</v>
      </c>
      <c r="F165" s="1968">
        <f>SSR!E25</f>
        <v>4572</v>
      </c>
      <c r="G165" s="970">
        <f t="shared" si="9"/>
        <v>882.20168999999999</v>
      </c>
      <c r="H165" s="970">
        <f t="shared" si="8"/>
        <v>12274.4</v>
      </c>
      <c r="I165" s="413" t="s">
        <v>1099</v>
      </c>
    </row>
    <row r="166" spans="1:15" x14ac:dyDescent="0.2">
      <c r="A166" s="933"/>
      <c r="B166" s="678" t="s">
        <v>1097</v>
      </c>
      <c r="C166" s="2070" t="s">
        <v>2090</v>
      </c>
      <c r="D166" s="2071"/>
      <c r="E166" s="970">
        <f>$I$126</f>
        <v>8136.6</v>
      </c>
      <c r="F166" s="971">
        <f>SSR!E26</f>
        <v>2344</v>
      </c>
      <c r="G166" s="970">
        <f t="shared" si="9"/>
        <v>452.29237999999992</v>
      </c>
      <c r="H166" s="970">
        <f t="shared" si="8"/>
        <v>10932.9</v>
      </c>
      <c r="I166" s="413" t="s">
        <v>1099</v>
      </c>
    </row>
    <row r="167" spans="1:15" x14ac:dyDescent="0.2">
      <c r="A167" s="933"/>
      <c r="B167" s="678" t="s">
        <v>1097</v>
      </c>
      <c r="C167" s="2070" t="s">
        <v>932</v>
      </c>
      <c r="D167" s="2071"/>
      <c r="E167" s="970">
        <f>$I$126</f>
        <v>8136.6</v>
      </c>
      <c r="F167" s="971">
        <f>SSR!E27</f>
        <v>410</v>
      </c>
      <c r="G167" s="970">
        <f t="shared" si="9"/>
        <v>79.112574999999993</v>
      </c>
      <c r="H167" s="970">
        <f t="shared" si="8"/>
        <v>8625.7000000000007</v>
      </c>
      <c r="I167" s="413" t="s">
        <v>1099</v>
      </c>
    </row>
    <row r="168" spans="1:15" x14ac:dyDescent="0.2">
      <c r="B168" s="678" t="s">
        <v>1097</v>
      </c>
      <c r="C168" s="2070" t="s">
        <v>1100</v>
      </c>
      <c r="D168" s="2071"/>
      <c r="E168" s="970">
        <f>I139</f>
        <v>6820.2</v>
      </c>
      <c r="F168" s="970">
        <f>SSR!E28</f>
        <v>389</v>
      </c>
      <c r="G168" s="970">
        <f t="shared" si="9"/>
        <v>75.060467500000001</v>
      </c>
      <c r="H168" s="970">
        <f t="shared" si="8"/>
        <v>7284.3</v>
      </c>
      <c r="I168" s="413" t="s">
        <v>1099</v>
      </c>
    </row>
    <row r="169" spans="1:15" x14ac:dyDescent="0.2">
      <c r="B169" s="678" t="s">
        <v>1097</v>
      </c>
      <c r="C169" s="2070" t="s">
        <v>935</v>
      </c>
      <c r="D169" s="2071"/>
      <c r="E169" s="970">
        <f>I139</f>
        <v>6820.2</v>
      </c>
      <c r="F169" s="970">
        <f>SSR!E29</f>
        <v>399</v>
      </c>
      <c r="G169" s="970">
        <f t="shared" si="9"/>
        <v>76.990042500000001</v>
      </c>
      <c r="H169" s="970">
        <f t="shared" si="8"/>
        <v>7296.2</v>
      </c>
      <c r="I169" s="413" t="s">
        <v>1099</v>
      </c>
    </row>
    <row r="170" spans="1:15" x14ac:dyDescent="0.2">
      <c r="B170" s="678" t="s">
        <v>1097</v>
      </c>
      <c r="C170" s="2070" t="s">
        <v>936</v>
      </c>
      <c r="D170" s="2071"/>
      <c r="E170" s="970">
        <f>I139</f>
        <v>6820.2</v>
      </c>
      <c r="F170" s="1968">
        <f>SSR!E30</f>
        <v>818</v>
      </c>
      <c r="G170" s="970">
        <f t="shared" si="9"/>
        <v>157.839235</v>
      </c>
      <c r="H170" s="970">
        <f t="shared" si="8"/>
        <v>7796</v>
      </c>
      <c r="I170" s="413" t="s">
        <v>1099</v>
      </c>
    </row>
    <row r="171" spans="1:15" x14ac:dyDescent="0.2">
      <c r="B171" s="678" t="s">
        <v>1097</v>
      </c>
      <c r="C171" s="2034" t="s">
        <v>2089</v>
      </c>
      <c r="D171" s="2035"/>
      <c r="E171" s="970">
        <f>E161</f>
        <v>7749.3</v>
      </c>
      <c r="F171" s="413">
        <f>SSR!G6</f>
        <v>305</v>
      </c>
      <c r="G171" s="970">
        <f t="shared" si="9"/>
        <v>58.852037499999994</v>
      </c>
      <c r="H171" s="970">
        <f t="shared" si="8"/>
        <v>8113.2</v>
      </c>
      <c r="I171" s="413" t="s">
        <v>1099</v>
      </c>
    </row>
    <row r="172" spans="1:15" x14ac:dyDescent="0.2">
      <c r="B172" s="678" t="s">
        <v>1097</v>
      </c>
      <c r="C172" s="2034" t="s">
        <v>2091</v>
      </c>
      <c r="D172" s="2035"/>
      <c r="E172" s="970">
        <f>E171</f>
        <v>7749.3</v>
      </c>
      <c r="F172" s="413">
        <f>SSR!G26</f>
        <v>1068</v>
      </c>
      <c r="G172" s="970">
        <f t="shared" si="9"/>
        <v>206.07861</v>
      </c>
      <c r="H172" s="970">
        <f t="shared" si="8"/>
        <v>9023.4</v>
      </c>
      <c r="I172" s="413" t="s">
        <v>1099</v>
      </c>
    </row>
    <row r="173" spans="1:15" x14ac:dyDescent="0.2">
      <c r="B173" s="431"/>
      <c r="C173" s="1046"/>
      <c r="E173" s="295"/>
      <c r="G173" s="149"/>
      <c r="H173" s="149"/>
      <c r="I173" s="155"/>
    </row>
    <row r="174" spans="1:15" x14ac:dyDescent="0.2">
      <c r="B174" s="945">
        <v>14</v>
      </c>
      <c r="C174" s="129" t="s">
        <v>1101</v>
      </c>
    </row>
    <row r="175" spans="1:15" x14ac:dyDescent="0.2">
      <c r="C175" s="129" t="s">
        <v>1102</v>
      </c>
    </row>
    <row r="176" spans="1:15" x14ac:dyDescent="0.2">
      <c r="C176" s="129">
        <v>0.48</v>
      </c>
      <c r="D176" s="129" t="s">
        <v>1012</v>
      </c>
      <c r="E176" s="129" t="s">
        <v>1103</v>
      </c>
      <c r="F176" s="552" t="s">
        <v>1022</v>
      </c>
      <c r="G176" s="295">
        <f>Lead!K15</f>
        <v>6400</v>
      </c>
      <c r="H176" s="129" t="s">
        <v>486</v>
      </c>
      <c r="I176" s="295">
        <f>C176*G176</f>
        <v>3072</v>
      </c>
    </row>
    <row r="177" spans="2:10" x14ac:dyDescent="0.2">
      <c r="C177" s="295">
        <v>1.05</v>
      </c>
      <c r="D177" s="129" t="s">
        <v>1012</v>
      </c>
      <c r="E177" s="129" t="s">
        <v>1021</v>
      </c>
      <c r="F177" s="552" t="s">
        <v>1022</v>
      </c>
      <c r="G177" s="295">
        <f>Lead!K12</f>
        <v>1077.7366188443427</v>
      </c>
      <c r="H177" s="129" t="s">
        <v>1012</v>
      </c>
      <c r="I177" s="295">
        <f>C177*G177</f>
        <v>1131.6234497865598</v>
      </c>
    </row>
    <row r="178" spans="2:10" x14ac:dyDescent="0.2">
      <c r="C178" s="295">
        <v>0.2</v>
      </c>
      <c r="D178" s="129" t="s">
        <v>1012</v>
      </c>
      <c r="E178" s="129" t="s">
        <v>1104</v>
      </c>
      <c r="F178" s="552" t="s">
        <v>1022</v>
      </c>
      <c r="G178" s="295">
        <f>G40</f>
        <v>320</v>
      </c>
      <c r="H178" s="129" t="s">
        <v>1012</v>
      </c>
      <c r="I178" s="295">
        <f>C178*G178</f>
        <v>64</v>
      </c>
      <c r="J178" s="129" t="s">
        <v>1105</v>
      </c>
    </row>
    <row r="179" spans="2:10" ht="13.5" thickBot="1" x14ac:dyDescent="0.25">
      <c r="C179" s="295"/>
      <c r="E179" s="129" t="str">
        <f>+IF($I$4=0%,"---","Municipal allowance")</f>
        <v>Municipal allowance</v>
      </c>
      <c r="G179" s="928">
        <f>$I$4</f>
        <v>0.2</v>
      </c>
      <c r="I179" s="295">
        <f>I178*G179</f>
        <v>12.8</v>
      </c>
    </row>
    <row r="180" spans="2:10" ht="13.5" thickBot="1" x14ac:dyDescent="0.25">
      <c r="F180" s="934" t="s">
        <v>1024</v>
      </c>
      <c r="G180" s="935"/>
      <c r="H180" s="935"/>
      <c r="I180" s="936">
        <f>ROUND(SUM(I176:I179),1)</f>
        <v>4280.3999999999996</v>
      </c>
    </row>
    <row r="182" spans="2:10" x14ac:dyDescent="0.2">
      <c r="B182" s="324">
        <v>15</v>
      </c>
      <c r="C182" s="129" t="s">
        <v>1106</v>
      </c>
      <c r="I182" s="139"/>
    </row>
    <row r="183" spans="2:10" x14ac:dyDescent="0.2">
      <c r="C183" s="129" t="s">
        <v>1102</v>
      </c>
      <c r="I183" s="139"/>
    </row>
    <row r="184" spans="2:10" x14ac:dyDescent="0.2">
      <c r="C184" s="129">
        <v>0.36</v>
      </c>
      <c r="D184" s="129" t="s">
        <v>1012</v>
      </c>
      <c r="E184" s="129" t="s">
        <v>1103</v>
      </c>
      <c r="F184" s="552" t="s">
        <v>1022</v>
      </c>
      <c r="G184" s="295">
        <f>G176</f>
        <v>6400</v>
      </c>
      <c r="H184" s="129" t="s">
        <v>486</v>
      </c>
      <c r="I184" s="295">
        <f>C184*G184</f>
        <v>2304</v>
      </c>
    </row>
    <row r="185" spans="2:10" x14ac:dyDescent="0.2">
      <c r="C185" s="295">
        <v>1.05</v>
      </c>
      <c r="D185" s="129" t="s">
        <v>1012</v>
      </c>
      <c r="E185" s="129" t="s">
        <v>1021</v>
      </c>
      <c r="F185" s="552" t="s">
        <v>1022</v>
      </c>
      <c r="G185" s="295">
        <f>Lead!K12</f>
        <v>1077.7366188443427</v>
      </c>
      <c r="H185" s="129" t="s">
        <v>1012</v>
      </c>
      <c r="I185" s="295">
        <f>C185*G185</f>
        <v>1131.6234497865598</v>
      </c>
    </row>
    <row r="186" spans="2:10" x14ac:dyDescent="0.2">
      <c r="C186" s="295">
        <v>0.2</v>
      </c>
      <c r="D186" s="129" t="s">
        <v>1012</v>
      </c>
      <c r="E186" s="129" t="s">
        <v>1104</v>
      </c>
      <c r="F186" s="552" t="s">
        <v>1022</v>
      </c>
      <c r="G186" s="295">
        <f>G178</f>
        <v>320</v>
      </c>
      <c r="H186" s="129" t="s">
        <v>1012</v>
      </c>
      <c r="I186" s="295">
        <f>C186*G186</f>
        <v>64</v>
      </c>
      <c r="J186" s="129" t="s">
        <v>1107</v>
      </c>
    </row>
    <row r="187" spans="2:10" ht="13.5" thickBot="1" x14ac:dyDescent="0.25">
      <c r="C187" s="295"/>
      <c r="E187" s="129" t="str">
        <f>+IF($I$4=0%,"---","Municipal allowance")</f>
        <v>Municipal allowance</v>
      </c>
      <c r="G187" s="928">
        <f>$I$4</f>
        <v>0.2</v>
      </c>
      <c r="I187" s="295">
        <f>I186*G187</f>
        <v>12.8</v>
      </c>
    </row>
    <row r="188" spans="2:10" ht="13.5" thickBot="1" x14ac:dyDescent="0.25">
      <c r="F188" s="934" t="s">
        <v>1024</v>
      </c>
      <c r="G188" s="935"/>
      <c r="H188" s="935"/>
      <c r="I188" s="936">
        <f>ROUND(SUM(I184:I187),1)</f>
        <v>3512.4</v>
      </c>
    </row>
    <row r="189" spans="2:10" x14ac:dyDescent="0.2">
      <c r="F189" s="189"/>
      <c r="G189" s="189"/>
      <c r="H189" s="189"/>
      <c r="I189" s="941"/>
    </row>
    <row r="190" spans="2:10" x14ac:dyDescent="0.2">
      <c r="B190" s="324">
        <v>16</v>
      </c>
      <c r="C190" s="129" t="s">
        <v>1108</v>
      </c>
      <c r="I190" s="139"/>
    </row>
    <row r="191" spans="2:10" x14ac:dyDescent="0.2">
      <c r="C191" s="129" t="s">
        <v>1102</v>
      </c>
      <c r="I191" s="139"/>
    </row>
    <row r="192" spans="2:10" x14ac:dyDescent="0.2">
      <c r="C192" s="129">
        <v>0.28799999999999998</v>
      </c>
      <c r="D192" s="129" t="s">
        <v>1012</v>
      </c>
      <c r="E192" s="129" t="s">
        <v>1103</v>
      </c>
      <c r="F192" s="552" t="s">
        <v>1022</v>
      </c>
      <c r="G192" s="295">
        <f>G184</f>
        <v>6400</v>
      </c>
      <c r="H192" s="129" t="s">
        <v>486</v>
      </c>
      <c r="I192" s="295">
        <f>C192*G192</f>
        <v>1843.1999999999998</v>
      </c>
    </row>
    <row r="193" spans="2:10" x14ac:dyDescent="0.2">
      <c r="C193" s="295">
        <v>1.05</v>
      </c>
      <c r="D193" s="129" t="s">
        <v>1012</v>
      </c>
      <c r="E193" s="129" t="s">
        <v>1021</v>
      </c>
      <c r="F193" s="552" t="s">
        <v>1022</v>
      </c>
      <c r="G193" s="295">
        <f>Lead!K12</f>
        <v>1077.7366188443427</v>
      </c>
      <c r="H193" s="129" t="s">
        <v>1012</v>
      </c>
      <c r="I193" s="295">
        <f>C193*G193</f>
        <v>1131.6234497865598</v>
      </c>
    </row>
    <row r="194" spans="2:10" x14ac:dyDescent="0.2">
      <c r="C194" s="295">
        <v>0.2</v>
      </c>
      <c r="D194" s="129" t="s">
        <v>1012</v>
      </c>
      <c r="E194" s="129" t="s">
        <v>1104</v>
      </c>
      <c r="F194" s="552" t="s">
        <v>1022</v>
      </c>
      <c r="G194" s="295">
        <f>G186</f>
        <v>320</v>
      </c>
      <c r="H194" s="129" t="s">
        <v>1012</v>
      </c>
      <c r="I194" s="295">
        <f>C194*G194</f>
        <v>64</v>
      </c>
      <c r="J194" s="129" t="s">
        <v>1109</v>
      </c>
    </row>
    <row r="195" spans="2:10" ht="13.5" thickBot="1" x14ac:dyDescent="0.25">
      <c r="C195" s="295"/>
      <c r="E195" s="129" t="str">
        <f>+IF($I$4=0%,"---","Municipal allowance")</f>
        <v>Municipal allowance</v>
      </c>
      <c r="G195" s="928">
        <f>$I$4</f>
        <v>0.2</v>
      </c>
      <c r="I195" s="295">
        <f>I194*G195</f>
        <v>12.8</v>
      </c>
    </row>
    <row r="196" spans="2:10" ht="13.5" thickBot="1" x14ac:dyDescent="0.25">
      <c r="F196" s="934" t="s">
        <v>1024</v>
      </c>
      <c r="G196" s="935"/>
      <c r="H196" s="935"/>
      <c r="I196" s="936">
        <f>ROUND(SUM(I192:I195),1)</f>
        <v>3051.6</v>
      </c>
    </row>
    <row r="197" spans="2:10" x14ac:dyDescent="0.2">
      <c r="F197" s="189"/>
      <c r="G197" s="189"/>
      <c r="H197" s="189"/>
      <c r="I197" s="941"/>
    </row>
    <row r="198" spans="2:10" x14ac:dyDescent="0.2">
      <c r="B198" s="324">
        <v>17</v>
      </c>
      <c r="C198" s="129" t="s">
        <v>1110</v>
      </c>
      <c r="I198" s="139"/>
    </row>
    <row r="199" spans="2:10" x14ac:dyDescent="0.2">
      <c r="C199" s="129" t="s">
        <v>1102</v>
      </c>
      <c r="I199" s="139"/>
    </row>
    <row r="200" spans="2:10" x14ac:dyDescent="0.2">
      <c r="C200" s="129">
        <v>0.24</v>
      </c>
      <c r="D200" s="129" t="s">
        <v>1012</v>
      </c>
      <c r="E200" s="129" t="s">
        <v>1103</v>
      </c>
      <c r="F200" s="552" t="s">
        <v>1022</v>
      </c>
      <c r="G200" s="295">
        <f>G192</f>
        <v>6400</v>
      </c>
      <c r="H200" s="129" t="s">
        <v>486</v>
      </c>
      <c r="I200" s="295">
        <f>C200*G200</f>
        <v>1536</v>
      </c>
    </row>
    <row r="201" spans="2:10" x14ac:dyDescent="0.2">
      <c r="C201" s="295">
        <v>1.05</v>
      </c>
      <c r="D201" s="129" t="s">
        <v>1012</v>
      </c>
      <c r="E201" s="129" t="s">
        <v>1021</v>
      </c>
      <c r="F201" s="552" t="s">
        <v>1022</v>
      </c>
      <c r="G201" s="295">
        <f>Lead!K12</f>
        <v>1077.7366188443427</v>
      </c>
      <c r="H201" s="129" t="s">
        <v>1012</v>
      </c>
      <c r="I201" s="295">
        <f>C201*G201</f>
        <v>1131.6234497865598</v>
      </c>
    </row>
    <row r="202" spans="2:10" x14ac:dyDescent="0.2">
      <c r="C202" s="295">
        <v>0.2</v>
      </c>
      <c r="D202" s="129" t="s">
        <v>1012</v>
      </c>
      <c r="E202" s="129" t="s">
        <v>1104</v>
      </c>
      <c r="F202" s="552" t="s">
        <v>1022</v>
      </c>
      <c r="G202" s="295">
        <f>G194</f>
        <v>320</v>
      </c>
      <c r="H202" s="129" t="s">
        <v>1012</v>
      </c>
      <c r="I202" s="295">
        <f>C202*G202</f>
        <v>64</v>
      </c>
      <c r="J202" s="129" t="s">
        <v>1111</v>
      </c>
    </row>
    <row r="203" spans="2:10" ht="13.5" thickBot="1" x14ac:dyDescent="0.25">
      <c r="C203" s="295"/>
      <c r="E203" s="129" t="str">
        <f>+IF($I$4=0%,"---","Municipal allowance")</f>
        <v>Municipal allowance</v>
      </c>
      <c r="G203" s="928">
        <f>$I$4</f>
        <v>0.2</v>
      </c>
      <c r="I203" s="295">
        <f>I202*G203</f>
        <v>12.8</v>
      </c>
    </row>
    <row r="204" spans="2:10" ht="13.5" thickBot="1" x14ac:dyDescent="0.25">
      <c r="F204" s="934" t="s">
        <v>1024</v>
      </c>
      <c r="G204" s="935"/>
      <c r="H204" s="935"/>
      <c r="I204" s="936">
        <f>ROUND(SUM(I200:I203),1)</f>
        <v>2744.4</v>
      </c>
    </row>
    <row r="205" spans="2:10" x14ac:dyDescent="0.2">
      <c r="B205" s="972"/>
      <c r="C205" s="317"/>
      <c r="D205" s="317"/>
      <c r="E205" s="317"/>
      <c r="F205" s="317"/>
      <c r="G205" s="317"/>
      <c r="H205" s="317"/>
      <c r="I205" s="317"/>
    </row>
    <row r="206" spans="2:10" x14ac:dyDescent="0.2">
      <c r="B206" s="324">
        <v>18</v>
      </c>
      <c r="C206" s="129" t="s">
        <v>1112</v>
      </c>
    </row>
    <row r="207" spans="2:10" x14ac:dyDescent="0.2">
      <c r="C207" s="129" t="s">
        <v>1113</v>
      </c>
    </row>
    <row r="208" spans="2:10" x14ac:dyDescent="0.2">
      <c r="C208" s="129">
        <v>0.03</v>
      </c>
      <c r="D208" s="129" t="s">
        <v>1012</v>
      </c>
      <c r="E208" s="129" t="s">
        <v>1021</v>
      </c>
      <c r="F208" s="552" t="s">
        <v>1022</v>
      </c>
      <c r="G208" s="295">
        <f>Lead!K12</f>
        <v>1077.7366188443427</v>
      </c>
      <c r="H208" s="129" t="s">
        <v>1012</v>
      </c>
      <c r="I208" s="295">
        <f>C208*G208</f>
        <v>32.332098565330284</v>
      </c>
    </row>
    <row r="209" spans="2:10" x14ac:dyDescent="0.2">
      <c r="C209" s="129">
        <v>0.5</v>
      </c>
      <c r="D209" s="129" t="s">
        <v>1053</v>
      </c>
      <c r="E209" s="129" t="s">
        <v>1114</v>
      </c>
      <c r="F209" s="552" t="s">
        <v>1022</v>
      </c>
      <c r="G209" s="295">
        <f>SSR!$E$9</f>
        <v>375</v>
      </c>
      <c r="H209" s="129" t="s">
        <v>1030</v>
      </c>
      <c r="I209" s="295">
        <f>C209*G209</f>
        <v>187.5</v>
      </c>
    </row>
    <row r="210" spans="2:10" x14ac:dyDescent="0.2">
      <c r="C210" s="552">
        <v>0.74</v>
      </c>
      <c r="D210" s="129" t="s">
        <v>1053</v>
      </c>
      <c r="E210" s="129" t="s">
        <v>1056</v>
      </c>
      <c r="F210" s="552" t="s">
        <v>1022</v>
      </c>
      <c r="G210" s="295">
        <f>G194</f>
        <v>320</v>
      </c>
      <c r="H210" s="129" t="s">
        <v>1030</v>
      </c>
      <c r="I210" s="295">
        <f>C210*G210</f>
        <v>236.8</v>
      </c>
    </row>
    <row r="211" spans="2:10" x14ac:dyDescent="0.2">
      <c r="C211" s="129">
        <v>1.44E-2</v>
      </c>
      <c r="D211" s="129" t="s">
        <v>486</v>
      </c>
      <c r="E211" s="129" t="s">
        <v>1057</v>
      </c>
      <c r="F211" s="552" t="s">
        <v>1022</v>
      </c>
      <c r="G211" s="295">
        <f>Lead!K15</f>
        <v>6400</v>
      </c>
      <c r="H211" s="129" t="s">
        <v>486</v>
      </c>
      <c r="I211" s="551">
        <f>C211*G211</f>
        <v>92.16</v>
      </c>
      <c r="J211" s="129" t="s">
        <v>1115</v>
      </c>
    </row>
    <row r="212" spans="2:10" x14ac:dyDescent="0.2">
      <c r="E212" s="129" t="str">
        <f>+IF($I$4=0%,"---","Municipal allowance")</f>
        <v>Municipal allowance</v>
      </c>
      <c r="G212" s="928">
        <f>$I$4</f>
        <v>0.2</v>
      </c>
      <c r="I212" s="149">
        <f>(I209+I210)*G212</f>
        <v>84.860000000000014</v>
      </c>
    </row>
    <row r="213" spans="2:10" ht="15" thickBot="1" x14ac:dyDescent="0.25">
      <c r="D213" s="536"/>
      <c r="E213" s="129" t="s">
        <v>2102</v>
      </c>
      <c r="G213" s="1940">
        <f>+$I$5</f>
        <v>0.13614999999999999</v>
      </c>
      <c r="H213" s="942"/>
      <c r="I213" s="149">
        <f>SUM(I208:I212)*G213</f>
        <v>86.271733219669727</v>
      </c>
    </row>
    <row r="214" spans="2:10" ht="13.5" thickBot="1" x14ac:dyDescent="0.25">
      <c r="F214" s="934" t="s">
        <v>1142</v>
      </c>
      <c r="I214" s="936">
        <f>ROUND(SUM(I208:I213),1)</f>
        <v>719.9</v>
      </c>
    </row>
    <row r="216" spans="2:10" x14ac:dyDescent="0.2">
      <c r="B216" s="945">
        <v>19</v>
      </c>
      <c r="C216" s="129" t="s">
        <v>1116</v>
      </c>
    </row>
    <row r="217" spans="2:10" x14ac:dyDescent="0.2">
      <c r="C217" s="129" t="s">
        <v>1117</v>
      </c>
      <c r="H217" s="973" t="s">
        <v>1118</v>
      </c>
      <c r="I217" s="973" t="s">
        <v>1119</v>
      </c>
    </row>
    <row r="218" spans="2:10" x14ac:dyDescent="0.2">
      <c r="C218" s="129">
        <v>0.21</v>
      </c>
      <c r="D218" s="129" t="s">
        <v>20</v>
      </c>
      <c r="E218" s="129" t="s">
        <v>1120</v>
      </c>
      <c r="F218" s="295">
        <f>I180</f>
        <v>4280.3999999999996</v>
      </c>
      <c r="G218" s="129" t="s">
        <v>1012</v>
      </c>
      <c r="H218" s="295">
        <f>C218*F218</f>
        <v>898.8839999999999</v>
      </c>
      <c r="I218" s="295">
        <f>C218*I196</f>
        <v>640.83600000000001</v>
      </c>
    </row>
    <row r="219" spans="2:10" x14ac:dyDescent="0.2">
      <c r="C219" s="295">
        <v>0.94</v>
      </c>
      <c r="D219" s="129" t="s">
        <v>1121</v>
      </c>
      <c r="E219" s="129" t="s">
        <v>1122</v>
      </c>
      <c r="F219" s="295">
        <f>SSR!$E$9</f>
        <v>375</v>
      </c>
      <c r="G219" s="129" t="s">
        <v>1012</v>
      </c>
      <c r="H219" s="295">
        <f>C219*F219</f>
        <v>352.5</v>
      </c>
      <c r="I219" s="129">
        <f>C219*F219</f>
        <v>352.5</v>
      </c>
    </row>
    <row r="220" spans="2:10" x14ac:dyDescent="0.2">
      <c r="C220" s="295">
        <v>1.6</v>
      </c>
      <c r="D220" s="129" t="s">
        <v>1121</v>
      </c>
      <c r="E220" s="129" t="s">
        <v>1123</v>
      </c>
      <c r="F220" s="295">
        <f>SSR!$E$10</f>
        <v>320</v>
      </c>
      <c r="G220" s="129" t="s">
        <v>1030</v>
      </c>
      <c r="H220" s="295">
        <f>C220*F220</f>
        <v>512</v>
      </c>
      <c r="I220" s="295">
        <f>C220*F220</f>
        <v>512</v>
      </c>
      <c r="J220" s="129" t="s">
        <v>1124</v>
      </c>
    </row>
    <row r="221" spans="2:10" x14ac:dyDescent="0.2">
      <c r="C221" s="295"/>
      <c r="E221" s="129" t="str">
        <f>+IF($I$4=0%,"---","Municipal allowance")</f>
        <v>Municipal allowance</v>
      </c>
      <c r="F221" s="928">
        <f>$I$4</f>
        <v>0.2</v>
      </c>
      <c r="H221" s="295">
        <f>(H219+H220)*F221</f>
        <v>172.9</v>
      </c>
      <c r="I221" s="295">
        <f>(I219+I220)*F221</f>
        <v>172.9</v>
      </c>
    </row>
    <row r="222" spans="2:10" ht="13.5" thickBot="1" x14ac:dyDescent="0.25">
      <c r="E222" s="129" t="s">
        <v>2102</v>
      </c>
      <c r="F222" s="1940">
        <f>+$I$5</f>
        <v>0.13614999999999999</v>
      </c>
      <c r="G222" s="295"/>
      <c r="H222" s="295">
        <f>SUM(H218:H221)*F222</f>
        <v>263.62506660000003</v>
      </c>
      <c r="I222" s="295">
        <f>SUM(I218:I221)*14%</f>
        <v>234.95304000000004</v>
      </c>
    </row>
    <row r="223" spans="2:10" ht="13.5" thickBot="1" x14ac:dyDescent="0.25">
      <c r="F223" s="934" t="s">
        <v>1142</v>
      </c>
      <c r="G223" s="935"/>
      <c r="H223" s="936">
        <f>ROUND(SUM(H218:H222),1)</f>
        <v>2199.9</v>
      </c>
      <c r="I223" s="936">
        <f>ROUND(SUM(I218:I222),1)</f>
        <v>1913.2</v>
      </c>
    </row>
    <row r="224" spans="2:10" x14ac:dyDescent="0.2">
      <c r="F224" s="189"/>
      <c r="G224" s="189"/>
      <c r="H224" s="189"/>
      <c r="I224" s="941"/>
    </row>
    <row r="225" spans="1:10" x14ac:dyDescent="0.2">
      <c r="B225" s="324">
        <v>20</v>
      </c>
      <c r="C225" s="139" t="s">
        <v>1125</v>
      </c>
    </row>
    <row r="226" spans="1:10" x14ac:dyDescent="0.2">
      <c r="C226" s="129" t="s">
        <v>1126</v>
      </c>
      <c r="H226" s="849" t="s">
        <v>1127</v>
      </c>
      <c r="I226" s="849" t="s">
        <v>1128</v>
      </c>
    </row>
    <row r="227" spans="1:10" x14ac:dyDescent="0.2">
      <c r="C227" s="129">
        <v>0.15</v>
      </c>
      <c r="D227" s="129" t="s">
        <v>1012</v>
      </c>
      <c r="E227" s="129" t="s">
        <v>1120</v>
      </c>
      <c r="F227" s="295">
        <f>F218</f>
        <v>4280.3999999999996</v>
      </c>
      <c r="H227" s="295">
        <f>C227*F227</f>
        <v>642.05999999999995</v>
      </c>
      <c r="I227" s="295">
        <f>F227*0.21</f>
        <v>898.8839999999999</v>
      </c>
    </row>
    <row r="228" spans="1:10" x14ac:dyDescent="0.2">
      <c r="C228" s="129">
        <v>0.6</v>
      </c>
      <c r="D228" s="129" t="s">
        <v>1053</v>
      </c>
      <c r="E228" s="129" t="s">
        <v>1129</v>
      </c>
      <c r="F228" s="295">
        <f>SSR!$E$8</f>
        <v>420</v>
      </c>
      <c r="H228" s="295">
        <f>C228*F228</f>
        <v>252</v>
      </c>
      <c r="I228" s="129">
        <f>C219*F228</f>
        <v>394.79999999999995</v>
      </c>
      <c r="J228" s="129" t="s">
        <v>1130</v>
      </c>
    </row>
    <row r="229" spans="1:10" x14ac:dyDescent="0.2">
      <c r="C229" s="129">
        <v>0.96</v>
      </c>
      <c r="D229" s="129" t="s">
        <v>1053</v>
      </c>
      <c r="E229" s="129" t="s">
        <v>1056</v>
      </c>
      <c r="F229" s="295">
        <f>SSR!$E$10</f>
        <v>320</v>
      </c>
      <c r="H229" s="295">
        <f>C229*F229</f>
        <v>307.2</v>
      </c>
      <c r="I229" s="129">
        <f>C220*F229</f>
        <v>512</v>
      </c>
    </row>
    <row r="230" spans="1:10" s="930" customFormat="1" x14ac:dyDescent="0.2">
      <c r="A230" s="929"/>
      <c r="B230" s="927"/>
      <c r="C230" s="932">
        <v>1.5</v>
      </c>
      <c r="D230" s="930" t="s">
        <v>1131</v>
      </c>
      <c r="E230" s="930" t="s">
        <v>1132</v>
      </c>
      <c r="F230" s="932">
        <f>SSR!E50</f>
        <v>75</v>
      </c>
      <c r="H230" s="974">
        <f>C230*F230</f>
        <v>112.5</v>
      </c>
      <c r="I230" s="930">
        <f>2*F230</f>
        <v>150</v>
      </c>
    </row>
    <row r="231" spans="1:10" x14ac:dyDescent="0.2">
      <c r="C231" s="295"/>
      <c r="E231" s="129" t="str">
        <f>+IF($I$4=0%,"---","Municipal allowance")</f>
        <v>Municipal allowance</v>
      </c>
      <c r="F231" s="928">
        <f>$I$4</f>
        <v>0.2</v>
      </c>
      <c r="H231" s="149">
        <f>(H228+H229)*F231</f>
        <v>111.84000000000002</v>
      </c>
      <c r="I231" s="149">
        <f>(I228+I229)*F231</f>
        <v>181.36</v>
      </c>
    </row>
    <row r="232" spans="1:10" ht="13.5" thickBot="1" x14ac:dyDescent="0.25">
      <c r="C232" s="295"/>
      <c r="D232" s="536"/>
      <c r="E232" s="129" t="s">
        <v>2102</v>
      </c>
      <c r="F232" s="1940">
        <f>+$I$5</f>
        <v>0.13614999999999999</v>
      </c>
      <c r="G232" s="295"/>
      <c r="H232" s="295">
        <f>SUM(H227:H231)*F232</f>
        <v>194.09543999999997</v>
      </c>
      <c r="I232" s="295">
        <f>SUM(I227:I231)*14%</f>
        <v>299.18616000000003</v>
      </c>
    </row>
    <row r="233" spans="1:10" ht="13.5" thickBot="1" x14ac:dyDescent="0.25">
      <c r="A233" s="933"/>
      <c r="F233" s="934" t="s">
        <v>1133</v>
      </c>
      <c r="G233" s="935"/>
      <c r="H233" s="936">
        <f>ROUND(SUM(H227:H232),1)</f>
        <v>1619.7</v>
      </c>
      <c r="I233" s="936">
        <f>ROUND(SUM(I227:I232),1)</f>
        <v>2436.1999999999998</v>
      </c>
    </row>
    <row r="234" spans="1:10" x14ac:dyDescent="0.2">
      <c r="F234" s="189"/>
      <c r="G234" s="189"/>
      <c r="H234" s="189"/>
      <c r="I234" s="941"/>
    </row>
    <row r="235" spans="1:10" x14ac:dyDescent="0.2">
      <c r="B235" s="324">
        <v>21</v>
      </c>
      <c r="C235" s="129" t="s">
        <v>2079</v>
      </c>
      <c r="I235" s="941"/>
    </row>
    <row r="236" spans="1:10" x14ac:dyDescent="0.2">
      <c r="C236" s="129" t="s">
        <v>1134</v>
      </c>
      <c r="I236" s="941"/>
    </row>
    <row r="237" spans="1:10" x14ac:dyDescent="0.2">
      <c r="E237" s="129" t="s">
        <v>1135</v>
      </c>
      <c r="F237" s="189"/>
      <c r="G237" s="189"/>
      <c r="H237" s="189"/>
      <c r="I237" s="941">
        <f>H233</f>
        <v>1619.7</v>
      </c>
    </row>
    <row r="238" spans="1:10" x14ac:dyDescent="0.2">
      <c r="E238" s="129" t="s">
        <v>1136</v>
      </c>
      <c r="F238" s="189"/>
      <c r="G238" s="189"/>
      <c r="H238" s="189"/>
      <c r="I238" s="941">
        <f>SSR!E38</f>
        <v>67</v>
      </c>
    </row>
    <row r="239" spans="1:10" x14ac:dyDescent="0.2">
      <c r="E239" s="129" t="str">
        <f>+IF($I$4=0%,"---","Municipal allowance")</f>
        <v>Municipal allowance</v>
      </c>
      <c r="G239" s="928">
        <f>$I$4</f>
        <v>0.2</v>
      </c>
      <c r="H239" s="189"/>
      <c r="I239" s="941">
        <f>I238*G239*0.25</f>
        <v>3.35</v>
      </c>
    </row>
    <row r="240" spans="1:10" ht="13.5" thickBot="1" x14ac:dyDescent="0.25">
      <c r="E240" s="129" t="s">
        <v>2102</v>
      </c>
      <c r="G240" s="1940">
        <f>+$I$5</f>
        <v>0.13614999999999999</v>
      </c>
      <c r="H240" s="295"/>
      <c r="I240" s="295">
        <f>SUM(I238:I239)*G240</f>
        <v>9.5781524999999981</v>
      </c>
    </row>
    <row r="241" spans="1:11" ht="13.5" thickBot="1" x14ac:dyDescent="0.25">
      <c r="F241" s="934" t="s">
        <v>1133</v>
      </c>
      <c r="G241" s="935"/>
      <c r="H241" s="935"/>
      <c r="I241" s="936">
        <f>ROUND(SUM(I237:I240),1)</f>
        <v>1699.6</v>
      </c>
    </row>
    <row r="242" spans="1:11" x14ac:dyDescent="0.2">
      <c r="F242" s="189"/>
      <c r="G242" s="189"/>
      <c r="H242" s="189"/>
      <c r="I242" s="941"/>
    </row>
    <row r="243" spans="1:11" x14ac:dyDescent="0.2">
      <c r="B243" s="945">
        <v>22</v>
      </c>
      <c r="C243" s="129" t="s">
        <v>2080</v>
      </c>
    </row>
    <row r="244" spans="1:11" x14ac:dyDescent="0.2">
      <c r="C244" s="129" t="s">
        <v>1137</v>
      </c>
    </row>
    <row r="245" spans="1:11" x14ac:dyDescent="0.2">
      <c r="C245" s="129" t="s">
        <v>1102</v>
      </c>
    </row>
    <row r="246" spans="1:11" x14ac:dyDescent="0.2">
      <c r="C246" s="295">
        <v>1</v>
      </c>
      <c r="D246" s="129" t="s">
        <v>20</v>
      </c>
      <c r="E246" s="129" t="s">
        <v>1138</v>
      </c>
      <c r="F246" s="552" t="s">
        <v>1022</v>
      </c>
      <c r="G246" s="295">
        <f>I44</f>
        <v>4470.5</v>
      </c>
      <c r="H246" s="129" t="s">
        <v>1099</v>
      </c>
      <c r="I246" s="295">
        <f>C246*G246</f>
        <v>4470.5</v>
      </c>
    </row>
    <row r="247" spans="1:11" ht="13.5" thickBot="1" x14ac:dyDescent="0.25">
      <c r="C247" s="129">
        <v>10</v>
      </c>
      <c r="D247" s="129" t="s">
        <v>1085</v>
      </c>
      <c r="E247" s="129" t="s">
        <v>1139</v>
      </c>
      <c r="F247" s="552" t="s">
        <v>1022</v>
      </c>
      <c r="G247" s="295">
        <f>H223</f>
        <v>2199.9</v>
      </c>
      <c r="H247" s="129" t="s">
        <v>1140</v>
      </c>
      <c r="I247" s="295">
        <f>C247*G247/10</f>
        <v>2199.9</v>
      </c>
      <c r="J247" s="129" t="s">
        <v>1141</v>
      </c>
    </row>
    <row r="248" spans="1:11" ht="13.5" thickBot="1" x14ac:dyDescent="0.25">
      <c r="A248" s="933"/>
      <c r="F248" s="934" t="s">
        <v>1142</v>
      </c>
      <c r="G248" s="935"/>
      <c r="H248" s="935"/>
      <c r="I248" s="936">
        <f>ROUND(SUM(I246:I247),1)</f>
        <v>6670.4</v>
      </c>
    </row>
    <row r="249" spans="1:11" x14ac:dyDescent="0.2">
      <c r="A249" s="933"/>
      <c r="F249" s="189"/>
      <c r="G249" s="189"/>
      <c r="H249" s="189"/>
      <c r="I249" s="941"/>
    </row>
    <row r="250" spans="1:11" s="315" customFormat="1" x14ac:dyDescent="0.2">
      <c r="A250" s="975"/>
      <c r="B250" s="324">
        <v>23</v>
      </c>
      <c r="C250" s="129" t="s">
        <v>1143</v>
      </c>
      <c r="D250" s="129"/>
      <c r="E250" s="129"/>
      <c r="F250" s="552"/>
      <c r="G250" s="295"/>
      <c r="H250" s="129"/>
      <c r="I250" s="295"/>
      <c r="J250" s="129"/>
      <c r="K250" s="129"/>
    </row>
    <row r="251" spans="1:11" s="315" customFormat="1" x14ac:dyDescent="0.2">
      <c r="A251" s="975"/>
      <c r="B251" s="324"/>
      <c r="C251" s="129" t="s">
        <v>1144</v>
      </c>
      <c r="D251" s="129"/>
      <c r="E251" s="129"/>
      <c r="F251" s="552"/>
      <c r="G251" s="295"/>
      <c r="H251" s="129"/>
      <c r="I251" s="295"/>
      <c r="J251" s="129"/>
      <c r="K251" s="129"/>
    </row>
    <row r="252" spans="1:11" s="315" customFormat="1" x14ac:dyDescent="0.2">
      <c r="A252" s="975"/>
      <c r="B252" s="324"/>
      <c r="C252" s="129" t="s">
        <v>1145</v>
      </c>
      <c r="D252" s="129"/>
      <c r="E252" s="129"/>
      <c r="F252" s="552"/>
      <c r="G252" s="295"/>
      <c r="H252" s="129"/>
      <c r="I252" s="295"/>
      <c r="J252" s="129"/>
      <c r="K252" s="129"/>
    </row>
    <row r="253" spans="1:11" s="315" customFormat="1" x14ac:dyDescent="0.2">
      <c r="A253" s="975"/>
      <c r="B253" s="324"/>
      <c r="C253" s="129">
        <v>0.11</v>
      </c>
      <c r="D253" s="129" t="s">
        <v>1012</v>
      </c>
      <c r="E253" s="129" t="s">
        <v>1146</v>
      </c>
      <c r="F253" s="552" t="s">
        <v>1022</v>
      </c>
      <c r="G253" s="295">
        <f>I196</f>
        <v>3051.6</v>
      </c>
      <c r="H253" s="129" t="s">
        <v>1099</v>
      </c>
      <c r="I253" s="295">
        <f>C253*G253</f>
        <v>335.67599999999999</v>
      </c>
      <c r="J253" s="129"/>
      <c r="K253" s="129"/>
    </row>
    <row r="254" spans="1:11" s="315" customFormat="1" x14ac:dyDescent="0.2">
      <c r="A254" s="975"/>
      <c r="B254" s="324"/>
      <c r="C254" s="129">
        <v>0.04</v>
      </c>
      <c r="D254" s="129" t="s">
        <v>1012</v>
      </c>
      <c r="E254" s="129" t="s">
        <v>1147</v>
      </c>
      <c r="F254" s="552" t="s">
        <v>1022</v>
      </c>
      <c r="G254" s="295">
        <f>I180</f>
        <v>4280.3999999999996</v>
      </c>
      <c r="H254" s="129" t="s">
        <v>1099</v>
      </c>
      <c r="I254" s="295">
        <f>C254*G254</f>
        <v>171.21599999999998</v>
      </c>
      <c r="J254" s="129"/>
      <c r="K254" s="129"/>
    </row>
    <row r="255" spans="1:11" s="315" customFormat="1" x14ac:dyDescent="0.2">
      <c r="A255" s="975"/>
      <c r="B255" s="324"/>
      <c r="C255" s="129">
        <v>0.63</v>
      </c>
      <c r="D255" s="129" t="s">
        <v>1053</v>
      </c>
      <c r="E255" s="129" t="s">
        <v>1148</v>
      </c>
      <c r="F255" s="552" t="s">
        <v>1022</v>
      </c>
      <c r="G255" s="295">
        <f>SSR!$E$8</f>
        <v>420</v>
      </c>
      <c r="H255" s="129" t="s">
        <v>1149</v>
      </c>
      <c r="I255" s="295">
        <f>C255*G255</f>
        <v>264.60000000000002</v>
      </c>
      <c r="J255" s="129"/>
      <c r="K255" s="129"/>
    </row>
    <row r="256" spans="1:11" s="315" customFormat="1" x14ac:dyDescent="0.2">
      <c r="A256" s="975"/>
      <c r="B256" s="324"/>
      <c r="C256" s="129">
        <v>1.47</v>
      </c>
      <c r="D256" s="129" t="s">
        <v>1053</v>
      </c>
      <c r="E256" s="129" t="s">
        <v>1150</v>
      </c>
      <c r="F256" s="552" t="s">
        <v>1022</v>
      </c>
      <c r="G256" s="295">
        <f>SSR!$E$9</f>
        <v>375</v>
      </c>
      <c r="H256" s="129" t="s">
        <v>1149</v>
      </c>
      <c r="I256" s="295">
        <f>C256*G256</f>
        <v>551.25</v>
      </c>
      <c r="J256" s="129" t="s">
        <v>1151</v>
      </c>
    </row>
    <row r="257" spans="1:11" s="315" customFormat="1" x14ac:dyDescent="0.2">
      <c r="A257" s="975"/>
      <c r="B257" s="324"/>
      <c r="C257" s="129">
        <v>3.9</v>
      </c>
      <c r="D257" s="129" t="s">
        <v>1053</v>
      </c>
      <c r="E257" s="129" t="s">
        <v>1056</v>
      </c>
      <c r="F257" s="552" t="s">
        <v>1022</v>
      </c>
      <c r="G257" s="949">
        <f>SSR!$E$10</f>
        <v>320</v>
      </c>
      <c r="H257" s="129" t="s">
        <v>1149</v>
      </c>
      <c r="I257" s="149">
        <f>C257*G257</f>
        <v>1248</v>
      </c>
      <c r="J257" s="129"/>
      <c r="K257" s="129"/>
    </row>
    <row r="258" spans="1:11" s="315" customFormat="1" x14ac:dyDescent="0.2">
      <c r="A258" s="975"/>
      <c r="B258" s="324"/>
      <c r="C258" s="129"/>
      <c r="D258" s="129"/>
      <c r="E258" s="129" t="str">
        <f>+IF($I$4=0%,"---","Municipal allowance")</f>
        <v>Municipal allowance</v>
      </c>
      <c r="F258" s="129"/>
      <c r="G258" s="928">
        <f>$I$4</f>
        <v>0.2</v>
      </c>
      <c r="H258" s="129"/>
      <c r="I258" s="149">
        <f>(I255+I256+I257)*G258</f>
        <v>412.77</v>
      </c>
      <c r="J258" s="129"/>
      <c r="K258" s="129"/>
    </row>
    <row r="259" spans="1:11" s="315" customFormat="1" ht="13.5" thickBot="1" x14ac:dyDescent="0.25">
      <c r="A259" s="975"/>
      <c r="B259" s="324"/>
      <c r="C259" s="129"/>
      <c r="D259" s="129"/>
      <c r="E259" s="129" t="s">
        <v>2102</v>
      </c>
      <c r="F259" s="129"/>
      <c r="G259" s="1940">
        <f>+$I$5</f>
        <v>0.13614999999999999</v>
      </c>
      <c r="H259" s="295"/>
      <c r="I259" s="295">
        <f>SUM(I253:I258)*G259</f>
        <v>406.20515879999999</v>
      </c>
      <c r="J259" s="129"/>
      <c r="K259" s="129"/>
    </row>
    <row r="260" spans="1:11" s="315" customFormat="1" ht="13.5" thickBot="1" x14ac:dyDescent="0.25">
      <c r="A260" s="975"/>
      <c r="B260" s="324"/>
      <c r="C260" s="129"/>
      <c r="D260" s="129"/>
      <c r="E260" s="129"/>
      <c r="F260" s="934" t="s">
        <v>1133</v>
      </c>
      <c r="G260" s="935"/>
      <c r="H260" s="935"/>
      <c r="I260" s="936">
        <f>ROUND(SUM(I253:I259),1)</f>
        <v>3389.7</v>
      </c>
      <c r="J260" s="129"/>
      <c r="K260" s="129"/>
    </row>
    <row r="261" spans="1:11" s="315" customFormat="1" x14ac:dyDescent="0.2">
      <c r="A261" s="975"/>
      <c r="B261" s="324"/>
      <c r="C261" s="129"/>
      <c r="D261" s="129"/>
      <c r="E261" s="129"/>
      <c r="F261" s="189"/>
      <c r="G261" s="189"/>
      <c r="H261" s="189"/>
      <c r="I261" s="941"/>
      <c r="J261" s="129"/>
      <c r="K261" s="129"/>
    </row>
    <row r="262" spans="1:11" s="315" customFormat="1" x14ac:dyDescent="0.2">
      <c r="A262" s="975"/>
      <c r="B262" s="324">
        <v>24</v>
      </c>
      <c r="C262" s="129" t="s">
        <v>1143</v>
      </c>
      <c r="D262" s="129"/>
      <c r="E262" s="129"/>
      <c r="F262" s="552"/>
      <c r="G262" s="295"/>
      <c r="H262" s="189"/>
      <c r="I262" s="941"/>
    </row>
    <row r="263" spans="1:11" s="315" customFormat="1" x14ac:dyDescent="0.2">
      <c r="A263" s="975"/>
      <c r="B263" s="324"/>
      <c r="C263" s="129" t="s">
        <v>1144</v>
      </c>
      <c r="D263" s="129"/>
      <c r="E263" s="129"/>
      <c r="F263" s="552"/>
      <c r="G263" s="295"/>
      <c r="H263" s="189"/>
      <c r="I263" s="941"/>
    </row>
    <row r="264" spans="1:11" s="315" customFormat="1" x14ac:dyDescent="0.2">
      <c r="A264" s="975"/>
      <c r="B264" s="324"/>
      <c r="C264" s="129" t="s">
        <v>1152</v>
      </c>
      <c r="D264" s="129"/>
      <c r="E264" s="129"/>
      <c r="F264" s="552"/>
      <c r="G264" s="295"/>
      <c r="H264" s="189"/>
      <c r="I264" s="941"/>
    </row>
    <row r="265" spans="1:11" s="315" customFormat="1" x14ac:dyDescent="0.2">
      <c r="A265" s="975"/>
      <c r="B265" s="324"/>
      <c r="C265" s="129"/>
      <c r="D265" s="129"/>
      <c r="E265" s="129" t="s">
        <v>1153</v>
      </c>
      <c r="F265" s="189"/>
      <c r="G265" s="189"/>
      <c r="H265" s="189"/>
      <c r="I265" s="941">
        <f>I260</f>
        <v>3389.7</v>
      </c>
    </row>
    <row r="266" spans="1:11" s="315" customFormat="1" x14ac:dyDescent="0.2">
      <c r="A266" s="975"/>
      <c r="B266" s="324"/>
      <c r="C266" s="129"/>
      <c r="D266" s="129"/>
      <c r="E266" s="129" t="s">
        <v>1154</v>
      </c>
      <c r="F266" s="189"/>
      <c r="G266" s="189"/>
      <c r="H266" s="189"/>
      <c r="I266" s="976">
        <f>SSR!E38</f>
        <v>67</v>
      </c>
    </row>
    <row r="267" spans="1:11" s="315" customFormat="1" x14ac:dyDescent="0.2">
      <c r="A267" s="975"/>
      <c r="B267" s="324"/>
      <c r="C267" s="129"/>
      <c r="D267" s="129"/>
      <c r="E267" s="129" t="str">
        <f>+IF($I$4=0%,"---","Municipal allowance")</f>
        <v>Municipal allowance</v>
      </c>
      <c r="F267" s="129"/>
      <c r="G267" s="928">
        <f>$I$4</f>
        <v>0.2</v>
      </c>
      <c r="H267" s="189"/>
      <c r="I267" s="976">
        <f>I266*G267*0.25</f>
        <v>3.35</v>
      </c>
    </row>
    <row r="268" spans="1:11" s="315" customFormat="1" x14ac:dyDescent="0.2">
      <c r="A268" s="975"/>
      <c r="B268" s="324"/>
      <c r="C268" s="129"/>
      <c r="D268" s="129"/>
      <c r="E268" s="129" t="s">
        <v>2102</v>
      </c>
      <c r="F268" s="129"/>
      <c r="G268" s="1940">
        <f>+$I$5</f>
        <v>0.13614999999999999</v>
      </c>
      <c r="H268" s="295"/>
      <c r="I268" s="295">
        <f>SUM(I266:I267)*G268</f>
        <v>9.5781524999999981</v>
      </c>
    </row>
    <row r="269" spans="1:11" s="315" customFormat="1" ht="13.5" thickBot="1" x14ac:dyDescent="0.25">
      <c r="A269" s="975"/>
      <c r="B269" s="324"/>
      <c r="C269" s="129"/>
      <c r="D269" s="129"/>
      <c r="E269" s="129"/>
      <c r="F269" s="129"/>
      <c r="G269" s="129"/>
      <c r="H269" s="295"/>
      <c r="I269" s="295"/>
    </row>
    <row r="270" spans="1:11" s="315" customFormat="1" ht="13.5" thickBot="1" x14ac:dyDescent="0.25">
      <c r="A270" s="975"/>
      <c r="B270" s="324"/>
      <c r="C270" s="129"/>
      <c r="D270" s="129"/>
      <c r="E270" s="129"/>
      <c r="F270" s="934" t="s">
        <v>1133</v>
      </c>
      <c r="G270" s="935"/>
      <c r="H270" s="935"/>
      <c r="I270" s="936">
        <f>ROUND(SUM(I265:I268),1)</f>
        <v>3469.6</v>
      </c>
    </row>
    <row r="271" spans="1:11" x14ac:dyDescent="0.2">
      <c r="B271" s="945">
        <v>25</v>
      </c>
      <c r="C271" s="139" t="s">
        <v>1155</v>
      </c>
    </row>
    <row r="272" spans="1:11" x14ac:dyDescent="0.2">
      <c r="C272" s="129" t="s">
        <v>1156</v>
      </c>
    </row>
    <row r="273" spans="1:10" x14ac:dyDescent="0.2">
      <c r="C273" s="295">
        <v>0.7</v>
      </c>
      <c r="D273" s="129" t="s">
        <v>1157</v>
      </c>
      <c r="E273" s="129" t="s">
        <v>958</v>
      </c>
      <c r="F273" s="552" t="s">
        <v>1022</v>
      </c>
      <c r="G273" s="415">
        <f>SSR!E44</f>
        <v>158</v>
      </c>
      <c r="H273" s="129" t="s">
        <v>1158</v>
      </c>
      <c r="I273" s="295">
        <f>C273*G273</f>
        <v>110.6</v>
      </c>
    </row>
    <row r="274" spans="1:10" x14ac:dyDescent="0.2">
      <c r="C274" s="295">
        <v>0.7</v>
      </c>
      <c r="D274" s="129" t="s">
        <v>1053</v>
      </c>
      <c r="E274" s="129" t="s">
        <v>1159</v>
      </c>
      <c r="F274" s="552" t="s">
        <v>1022</v>
      </c>
      <c r="G274" s="295">
        <f>SSR!$E$8</f>
        <v>420</v>
      </c>
      <c r="H274" s="129" t="s">
        <v>1030</v>
      </c>
      <c r="I274" s="295">
        <f>C274*G274</f>
        <v>294</v>
      </c>
      <c r="J274" s="129" t="s">
        <v>1160</v>
      </c>
    </row>
    <row r="275" spans="1:10" ht="22.5" x14ac:dyDescent="0.2">
      <c r="C275" s="977" t="s">
        <v>1161</v>
      </c>
      <c r="E275" s="978" t="s">
        <v>1162</v>
      </c>
      <c r="F275" s="552"/>
      <c r="G275" s="295"/>
      <c r="I275" s="295">
        <f>SUM(I273:I274)*1%</f>
        <v>4.0460000000000003</v>
      </c>
    </row>
    <row r="276" spans="1:10" x14ac:dyDescent="0.2">
      <c r="C276" s="977"/>
      <c r="E276" s="129" t="str">
        <f>+IF($I$4=0%,"---","Municipal allowance")</f>
        <v>Municipal allowance</v>
      </c>
      <c r="F276" s="552"/>
      <c r="G276" s="295">
        <f>+$I$4</f>
        <v>0.2</v>
      </c>
      <c r="I276" s="295">
        <f>I274*G276</f>
        <v>58.800000000000004</v>
      </c>
    </row>
    <row r="277" spans="1:10" x14ac:dyDescent="0.2">
      <c r="F277" s="139" t="s">
        <v>1163</v>
      </c>
      <c r="I277" s="979">
        <f>ROUND(SUM(I273:I276),1)</f>
        <v>467.4</v>
      </c>
    </row>
    <row r="278" spans="1:10" x14ac:dyDescent="0.2">
      <c r="F278" s="139"/>
      <c r="I278" s="941"/>
    </row>
    <row r="279" spans="1:10" x14ac:dyDescent="0.2">
      <c r="B279" s="945">
        <v>26</v>
      </c>
      <c r="C279" s="139" t="s">
        <v>1164</v>
      </c>
    </row>
    <row r="280" spans="1:10" x14ac:dyDescent="0.2">
      <c r="C280" s="129" t="s">
        <v>1156</v>
      </c>
    </row>
    <row r="282" spans="1:10" x14ac:dyDescent="0.2">
      <c r="C282" s="295">
        <v>1</v>
      </c>
      <c r="D282" s="129" t="s">
        <v>1165</v>
      </c>
      <c r="E282" s="129" t="s">
        <v>1166</v>
      </c>
      <c r="F282" s="552" t="s">
        <v>1022</v>
      </c>
      <c r="G282" s="295">
        <f>I277</f>
        <v>467.4</v>
      </c>
      <c r="H282" s="129" t="s">
        <v>1158</v>
      </c>
      <c r="I282" s="295">
        <f>C282*G282</f>
        <v>467.4</v>
      </c>
    </row>
    <row r="283" spans="1:10" x14ac:dyDescent="0.2">
      <c r="C283" s="295">
        <v>2.8</v>
      </c>
      <c r="D283" s="129" t="s">
        <v>1167</v>
      </c>
      <c r="E283" s="129" t="s">
        <v>959</v>
      </c>
      <c r="F283" s="552" t="s">
        <v>1022</v>
      </c>
      <c r="G283" s="452">
        <f>SSR!E45</f>
        <v>276</v>
      </c>
      <c r="H283" s="129" t="s">
        <v>1158</v>
      </c>
      <c r="I283" s="295">
        <f>C283*G283</f>
        <v>772.8</v>
      </c>
      <c r="J283" s="129" t="s">
        <v>1168</v>
      </c>
    </row>
    <row r="284" spans="1:10" x14ac:dyDescent="0.2">
      <c r="C284" s="295">
        <v>1.2</v>
      </c>
      <c r="D284" s="129" t="s">
        <v>1053</v>
      </c>
      <c r="E284" s="129" t="s">
        <v>1169</v>
      </c>
      <c r="F284" s="552" t="s">
        <v>1022</v>
      </c>
      <c r="G284" s="295">
        <f>SSR!$E$49</f>
        <v>480</v>
      </c>
      <c r="H284" s="129" t="s">
        <v>1030</v>
      </c>
      <c r="I284" s="295">
        <f>C284*G284</f>
        <v>576</v>
      </c>
    </row>
    <row r="285" spans="1:10" ht="22.5" x14ac:dyDescent="0.2">
      <c r="C285" s="977" t="s">
        <v>1161</v>
      </c>
      <c r="E285" s="978" t="s">
        <v>1162</v>
      </c>
      <c r="F285" s="552"/>
      <c r="G285" s="295"/>
      <c r="I285" s="295">
        <f>SUM(I283:I284)*1%</f>
        <v>13.488</v>
      </c>
    </row>
    <row r="286" spans="1:10" x14ac:dyDescent="0.2">
      <c r="C286" s="977"/>
      <c r="E286" s="129" t="str">
        <f>+IF($I$4=0%,"---","Municipal allowance")</f>
        <v>Municipal allowance</v>
      </c>
      <c r="F286" s="552"/>
      <c r="G286" s="928">
        <f>$I$4</f>
        <v>0.2</v>
      </c>
      <c r="I286" s="295">
        <f>I284*G286</f>
        <v>115.2</v>
      </c>
    </row>
    <row r="287" spans="1:10" x14ac:dyDescent="0.2">
      <c r="C287" s="295"/>
      <c r="E287" s="129" t="s">
        <v>2102</v>
      </c>
      <c r="F287" s="552"/>
      <c r="G287" s="1940">
        <f>+$I$5</f>
        <v>0.13614999999999999</v>
      </c>
      <c r="I287" s="295">
        <f>SUM(I282:I286)*G287</f>
        <v>264.79650119999997</v>
      </c>
    </row>
    <row r="288" spans="1:10" x14ac:dyDescent="0.2">
      <c r="A288" s="933"/>
      <c r="F288" s="139" t="s">
        <v>1163</v>
      </c>
      <c r="I288" s="979">
        <f>ROUND(SUM(I282:I287),1)</f>
        <v>2209.6999999999998</v>
      </c>
    </row>
    <row r="289" spans="1:10" x14ac:dyDescent="0.2">
      <c r="G289" s="139"/>
      <c r="H289" s="139"/>
      <c r="I289" s="980"/>
    </row>
    <row r="290" spans="1:10" x14ac:dyDescent="0.2">
      <c r="B290" s="324">
        <v>27</v>
      </c>
      <c r="C290" s="139" t="s">
        <v>1170</v>
      </c>
    </row>
    <row r="291" spans="1:10" x14ac:dyDescent="0.2">
      <c r="C291" s="129" t="s">
        <v>1171</v>
      </c>
    </row>
    <row r="292" spans="1:10" x14ac:dyDescent="0.2">
      <c r="C292" s="295">
        <v>2</v>
      </c>
      <c r="D292" s="129" t="s">
        <v>1027</v>
      </c>
      <c r="E292" s="129" t="s">
        <v>961</v>
      </c>
      <c r="F292" s="552" t="s">
        <v>1022</v>
      </c>
      <c r="G292" s="295">
        <f>SSR!E46</f>
        <v>29</v>
      </c>
      <c r="H292" s="129" t="s">
        <v>1172</v>
      </c>
      <c r="I292" s="295">
        <f>C292*G292</f>
        <v>58</v>
      </c>
    </row>
    <row r="293" spans="1:10" x14ac:dyDescent="0.2">
      <c r="E293" s="129" t="s">
        <v>1173</v>
      </c>
      <c r="F293" s="552"/>
      <c r="G293" s="295"/>
      <c r="I293" s="295">
        <f>I292*0.01</f>
        <v>0.57999999999999996</v>
      </c>
    </row>
    <row r="294" spans="1:10" x14ac:dyDescent="0.2">
      <c r="C294" s="129">
        <v>0.21</v>
      </c>
      <c r="D294" s="129" t="s">
        <v>1053</v>
      </c>
      <c r="E294" s="129" t="s">
        <v>1174</v>
      </c>
      <c r="F294" s="552" t="s">
        <v>1022</v>
      </c>
      <c r="G294" s="295">
        <f>SSR!E49</f>
        <v>480</v>
      </c>
      <c r="H294" s="129" t="s">
        <v>1030</v>
      </c>
      <c r="I294" s="295">
        <f>C294*G294</f>
        <v>100.8</v>
      </c>
      <c r="J294" s="129" t="s">
        <v>1175</v>
      </c>
    </row>
    <row r="295" spans="1:10" x14ac:dyDescent="0.2">
      <c r="C295" s="129">
        <v>0.32</v>
      </c>
      <c r="D295" s="129" t="s">
        <v>1053</v>
      </c>
      <c r="E295" s="129" t="s">
        <v>1176</v>
      </c>
      <c r="F295" s="552" t="s">
        <v>1022</v>
      </c>
      <c r="G295" s="295">
        <f>SSR!$E$10</f>
        <v>320</v>
      </c>
      <c r="H295" s="129" t="s">
        <v>1030</v>
      </c>
      <c r="I295" s="149">
        <f>C295*G295</f>
        <v>102.4</v>
      </c>
    </row>
    <row r="296" spans="1:10" ht="22.5" x14ac:dyDescent="0.2">
      <c r="E296" s="978" t="s">
        <v>1162</v>
      </c>
      <c r="F296" s="552"/>
      <c r="G296" s="295"/>
      <c r="I296" s="149">
        <f>SUM(I292:I295)*1%</f>
        <v>2.6177999999999999</v>
      </c>
    </row>
    <row r="297" spans="1:10" x14ac:dyDescent="0.2">
      <c r="E297" s="129" t="str">
        <f>+IF($I$4=0%,"---","Municipal allowance")</f>
        <v>Municipal allowance</v>
      </c>
      <c r="F297" s="552"/>
      <c r="G297" s="928">
        <f>$I$4</f>
        <v>0.2</v>
      </c>
      <c r="I297" s="149">
        <f>(I294+I295)*G297</f>
        <v>40.64</v>
      </c>
    </row>
    <row r="298" spans="1:10" x14ac:dyDescent="0.2">
      <c r="E298" s="129" t="s">
        <v>2102</v>
      </c>
      <c r="F298" s="552"/>
      <c r="G298" s="1940">
        <f>+$I$5</f>
        <v>0.13614999999999999</v>
      </c>
      <c r="I298" s="295">
        <f>SUM(I292:I297)*G298</f>
        <v>41.530896469999988</v>
      </c>
    </row>
    <row r="299" spans="1:10" x14ac:dyDescent="0.2">
      <c r="A299" s="933"/>
      <c r="F299" s="139" t="s">
        <v>1163</v>
      </c>
      <c r="G299" s="139"/>
      <c r="H299" s="139"/>
      <c r="I299" s="979">
        <f>ROUND(SUM(I292:I298),1)</f>
        <v>346.6</v>
      </c>
    </row>
    <row r="300" spans="1:10" x14ac:dyDescent="0.2">
      <c r="F300" s="139"/>
      <c r="G300" s="139"/>
      <c r="H300" s="139"/>
      <c r="I300" s="980"/>
    </row>
    <row r="301" spans="1:10" x14ac:dyDescent="0.2">
      <c r="B301" s="324">
        <v>28</v>
      </c>
      <c r="C301" s="139" t="s">
        <v>1177</v>
      </c>
      <c r="F301" s="139"/>
      <c r="G301" s="139"/>
      <c r="H301" s="139"/>
      <c r="I301" s="980"/>
    </row>
    <row r="302" spans="1:10" x14ac:dyDescent="0.2">
      <c r="F302" s="139"/>
      <c r="G302" s="139"/>
      <c r="H302" s="139"/>
      <c r="I302" s="295">
        <f>I299</f>
        <v>346.6</v>
      </c>
    </row>
    <row r="303" spans="1:10" x14ac:dyDescent="0.2">
      <c r="E303" s="129" t="s">
        <v>1178</v>
      </c>
      <c r="F303" s="139"/>
      <c r="G303" s="139"/>
      <c r="H303" s="139"/>
      <c r="I303" s="551">
        <f>I302/2</f>
        <v>173.3</v>
      </c>
    </row>
    <row r="304" spans="1:10" x14ac:dyDescent="0.2">
      <c r="F304" s="139"/>
      <c r="G304" s="139"/>
      <c r="H304" s="139"/>
      <c r="I304" s="551">
        <v>0.01</v>
      </c>
    </row>
    <row r="305" spans="1:10" x14ac:dyDescent="0.2">
      <c r="G305" s="139" t="s">
        <v>1039</v>
      </c>
      <c r="H305" s="139"/>
      <c r="I305" s="979">
        <f>SUM(I302:I304)</f>
        <v>519.91000000000008</v>
      </c>
    </row>
    <row r="306" spans="1:10" x14ac:dyDescent="0.2">
      <c r="H306" s="189"/>
      <c r="I306" s="941"/>
    </row>
    <row r="307" spans="1:10" s="842" customFormat="1" x14ac:dyDescent="0.2">
      <c r="A307" s="846"/>
      <c r="B307" s="129">
        <v>28</v>
      </c>
      <c r="C307" s="129" t="s">
        <v>1179</v>
      </c>
      <c r="D307" s="129"/>
      <c r="E307" s="129"/>
      <c r="F307" s="129"/>
      <c r="G307" s="129"/>
      <c r="H307" s="129"/>
      <c r="I307" s="129"/>
    </row>
    <row r="308" spans="1:10" s="842" customFormat="1" x14ac:dyDescent="0.2">
      <c r="A308" s="846"/>
      <c r="B308" s="129"/>
      <c r="C308" s="129" t="s">
        <v>1180</v>
      </c>
      <c r="D308" s="129"/>
      <c r="E308" s="129"/>
      <c r="F308" s="129"/>
      <c r="G308" s="129"/>
      <c r="H308" s="129"/>
      <c r="I308" s="129"/>
    </row>
    <row r="309" spans="1:10" s="842" customFormat="1" x14ac:dyDescent="0.2">
      <c r="A309" s="846"/>
      <c r="B309" s="129"/>
      <c r="C309" s="129">
        <v>3.5</v>
      </c>
      <c r="D309" s="129" t="s">
        <v>1027</v>
      </c>
      <c r="E309" s="129" t="s">
        <v>963</v>
      </c>
      <c r="F309" s="129" t="s">
        <v>1022</v>
      </c>
      <c r="G309" s="295">
        <f>SSR!E47</f>
        <v>53</v>
      </c>
      <c r="H309" s="129" t="s">
        <v>1181</v>
      </c>
      <c r="I309" s="129">
        <f>C309*G309</f>
        <v>185.5</v>
      </c>
    </row>
    <row r="310" spans="1:10" s="842" customFormat="1" x14ac:dyDescent="0.2">
      <c r="A310" s="846"/>
      <c r="B310" s="129"/>
      <c r="C310" s="129">
        <v>0.5</v>
      </c>
      <c r="D310" s="129" t="s">
        <v>1182</v>
      </c>
      <c r="E310" s="129" t="s">
        <v>1174</v>
      </c>
      <c r="F310" s="129" t="s">
        <v>1022</v>
      </c>
      <c r="G310" s="129">
        <f>G294</f>
        <v>480</v>
      </c>
      <c r="H310" s="129" t="s">
        <v>1183</v>
      </c>
      <c r="I310" s="129">
        <f>C310*G310</f>
        <v>240</v>
      </c>
    </row>
    <row r="311" spans="1:10" s="842" customFormat="1" x14ac:dyDescent="0.2">
      <c r="A311" s="846"/>
      <c r="B311" s="129"/>
      <c r="C311" s="129">
        <v>1.5</v>
      </c>
      <c r="D311" s="129" t="s">
        <v>1182</v>
      </c>
      <c r="E311" s="129" t="s">
        <v>1184</v>
      </c>
      <c r="F311" s="129" t="s">
        <v>1022</v>
      </c>
      <c r="G311" s="129">
        <f>SSR!$E$10</f>
        <v>320</v>
      </c>
      <c r="H311" s="129" t="s">
        <v>1183</v>
      </c>
      <c r="I311" s="129">
        <f>C311*G311</f>
        <v>480</v>
      </c>
    </row>
    <row r="312" spans="1:10" s="842" customFormat="1" x14ac:dyDescent="0.2">
      <c r="A312" s="846"/>
      <c r="B312" s="129"/>
      <c r="C312" s="129"/>
      <c r="D312" s="129"/>
      <c r="E312" s="129" t="s">
        <v>1185</v>
      </c>
      <c r="F312" s="129"/>
      <c r="G312" s="129"/>
      <c r="H312" s="129"/>
      <c r="I312" s="129">
        <f>SUM(I309:I311)*1%</f>
        <v>9.0549999999999997</v>
      </c>
      <c r="J312" s="842" t="s">
        <v>1186</v>
      </c>
    </row>
    <row r="313" spans="1:10" s="842" customFormat="1" x14ac:dyDescent="0.2">
      <c r="A313" s="846"/>
      <c r="B313" s="129"/>
      <c r="C313" s="129"/>
      <c r="D313" s="129"/>
      <c r="E313" s="129" t="str">
        <f>+IF($I$4=0%,"---","Municipal allowance")</f>
        <v>Municipal allowance</v>
      </c>
      <c r="F313" s="129"/>
      <c r="G313" s="129">
        <f>$I$4</f>
        <v>0.2</v>
      </c>
      <c r="H313" s="129"/>
      <c r="I313" s="129">
        <f>(I310+I311)*G313</f>
        <v>144</v>
      </c>
    </row>
    <row r="314" spans="1:10" s="842" customFormat="1" x14ac:dyDescent="0.2">
      <c r="A314" s="846"/>
      <c r="B314" s="129"/>
      <c r="C314" s="129"/>
      <c r="D314" s="129"/>
      <c r="E314" s="129" t="s">
        <v>2102</v>
      </c>
      <c r="F314" s="129"/>
      <c r="G314" s="1940">
        <f>+$I$5</f>
        <v>0.13614999999999999</v>
      </c>
      <c r="H314" s="129"/>
      <c r="I314" s="129">
        <f>SUM(I309:I313)*G314</f>
        <v>144.12226324999997</v>
      </c>
    </row>
    <row r="315" spans="1:10" s="842" customFormat="1" x14ac:dyDescent="0.2">
      <c r="A315" s="846"/>
      <c r="B315" s="129"/>
      <c r="C315" s="129"/>
      <c r="D315" s="129"/>
      <c r="E315" s="129"/>
      <c r="F315" s="129"/>
      <c r="G315" s="129"/>
      <c r="H315" s="129" t="s">
        <v>1039</v>
      </c>
      <c r="I315" s="979">
        <f>ROUND(SUM(I309:I314),1)</f>
        <v>1202.7</v>
      </c>
    </row>
    <row r="316" spans="1:10" s="842" customFormat="1" x14ac:dyDescent="0.2">
      <c r="A316" s="846"/>
      <c r="B316" s="129"/>
      <c r="C316" s="129"/>
      <c r="D316" s="129"/>
      <c r="E316" s="129"/>
      <c r="F316" s="129"/>
      <c r="G316" s="129"/>
      <c r="H316" s="129"/>
      <c r="I316" s="941"/>
    </row>
    <row r="317" spans="1:10" x14ac:dyDescent="0.2">
      <c r="B317" s="981">
        <v>29</v>
      </c>
      <c r="C317" s="1925" t="s">
        <v>1187</v>
      </c>
      <c r="D317" s="982"/>
      <c r="E317" s="983"/>
      <c r="F317" s="155"/>
      <c r="G317" s="155"/>
      <c r="H317" s="155"/>
      <c r="I317" s="155"/>
      <c r="J317" s="984"/>
    </row>
    <row r="318" spans="1:10" x14ac:dyDescent="0.2">
      <c r="B318" s="981"/>
      <c r="C318" s="982" t="s">
        <v>1188</v>
      </c>
      <c r="D318" s="982"/>
      <c r="E318" s="983"/>
      <c r="F318" s="155"/>
      <c r="G318" s="155"/>
      <c r="H318" s="161" t="s">
        <v>482</v>
      </c>
      <c r="I318" s="161" t="s">
        <v>1189</v>
      </c>
      <c r="J318" s="984"/>
    </row>
    <row r="319" spans="1:10" x14ac:dyDescent="0.2">
      <c r="C319" s="295">
        <v>1.05</v>
      </c>
      <c r="D319" s="129" t="s">
        <v>486</v>
      </c>
      <c r="E319" s="129" t="s">
        <v>1190</v>
      </c>
      <c r="F319" s="295">
        <f>Lead!K16</f>
        <v>42000</v>
      </c>
      <c r="G319" s="155"/>
      <c r="H319" s="149">
        <f>F319*C319</f>
        <v>44100</v>
      </c>
      <c r="I319" s="295">
        <f>Lead!K17*C319</f>
        <v>47250</v>
      </c>
    </row>
    <row r="320" spans="1:10" x14ac:dyDescent="0.2">
      <c r="C320" s="985">
        <v>6</v>
      </c>
      <c r="D320" s="986"/>
      <c r="E320" s="986" t="s">
        <v>896</v>
      </c>
      <c r="F320" s="985">
        <f>+SSR!E2</f>
        <v>70</v>
      </c>
      <c r="G320" s="986" t="s">
        <v>1027</v>
      </c>
      <c r="H320" s="985">
        <f>F320*C320</f>
        <v>420</v>
      </c>
    </row>
    <row r="321" spans="1:11" ht="45" x14ac:dyDescent="0.2">
      <c r="C321" s="987" t="s">
        <v>1191</v>
      </c>
      <c r="D321" s="986"/>
      <c r="E321" s="988" t="s">
        <v>1192</v>
      </c>
      <c r="F321" s="985"/>
      <c r="G321" s="986"/>
      <c r="H321" s="985"/>
    </row>
    <row r="322" spans="1:11" x14ac:dyDescent="0.2">
      <c r="C322" s="985">
        <v>10</v>
      </c>
      <c r="D322" s="986"/>
      <c r="E322" s="989" t="s">
        <v>1193</v>
      </c>
      <c r="F322" s="295">
        <f>SSR!$E$8</f>
        <v>420</v>
      </c>
      <c r="G322" s="986" t="s">
        <v>1035</v>
      </c>
      <c r="H322" s="985">
        <f>F322*C322</f>
        <v>4200</v>
      </c>
      <c r="I322" s="295">
        <f>+H322</f>
        <v>4200</v>
      </c>
    </row>
    <row r="323" spans="1:11" x14ac:dyDescent="0.2">
      <c r="C323" s="985">
        <v>10</v>
      </c>
      <c r="D323" s="986"/>
      <c r="E323" s="986" t="s">
        <v>1194</v>
      </c>
      <c r="F323" s="295">
        <f>SSR!$E$10</f>
        <v>320</v>
      </c>
      <c r="G323" s="986" t="s">
        <v>1035</v>
      </c>
      <c r="H323" s="985">
        <f>F323*C323</f>
        <v>3200</v>
      </c>
      <c r="I323" s="295">
        <f>+H323</f>
        <v>3200</v>
      </c>
    </row>
    <row r="324" spans="1:11" x14ac:dyDescent="0.2">
      <c r="C324" s="985"/>
      <c r="D324" s="986"/>
      <c r="E324" s="129" t="str">
        <f>+IF($I$4=0%,"---","Municipal allowance")</f>
        <v>Municipal allowance</v>
      </c>
      <c r="F324" s="928">
        <f>$I$4</f>
        <v>0.2</v>
      </c>
      <c r="G324" s="986"/>
      <c r="H324" s="985">
        <f>(H322+H323)*F324</f>
        <v>1480</v>
      </c>
      <c r="I324" s="295">
        <f>+H324</f>
        <v>1480</v>
      </c>
    </row>
    <row r="325" spans="1:11" x14ac:dyDescent="0.2">
      <c r="C325" s="990"/>
      <c r="D325" s="986"/>
      <c r="E325" s="129" t="s">
        <v>2102</v>
      </c>
      <c r="F325" s="986"/>
      <c r="G325" s="1940">
        <f>+$I$5</f>
        <v>0.13614999999999999</v>
      </c>
      <c r="H325" s="985">
        <f>SUM(H319:H324)*G325</f>
        <v>7270.41</v>
      </c>
      <c r="I325" s="985">
        <f>SUM(I319:I324)*G325</f>
        <v>7642.0994999999994</v>
      </c>
    </row>
    <row r="326" spans="1:11" ht="13.5" thickBot="1" x14ac:dyDescent="0.25">
      <c r="C326" s="985"/>
      <c r="D326" s="986"/>
      <c r="E326" s="986" t="s">
        <v>1195</v>
      </c>
      <c r="F326" s="986"/>
      <c r="G326" s="985"/>
      <c r="H326" s="985"/>
    </row>
    <row r="327" spans="1:11" ht="13.5" thickBot="1" x14ac:dyDescent="0.25">
      <c r="A327" s="933"/>
      <c r="C327" s="595"/>
      <c r="D327" s="982"/>
      <c r="E327" s="155"/>
      <c r="F327" s="155"/>
      <c r="G327" s="934" t="s">
        <v>1039</v>
      </c>
      <c r="H327" s="936">
        <f>ROUND(SUM(H319:H326),1)</f>
        <v>60670.400000000001</v>
      </c>
      <c r="I327" s="936">
        <f>ROUND(SUM(I319:I326),1)</f>
        <v>63772.1</v>
      </c>
    </row>
    <row r="328" spans="1:11" x14ac:dyDescent="0.2">
      <c r="A328" s="933"/>
      <c r="C328" s="595"/>
      <c r="D328" s="1923"/>
      <c r="E328" s="155"/>
      <c r="F328" s="155"/>
      <c r="G328" s="189"/>
      <c r="H328" s="941"/>
      <c r="I328" s="941"/>
    </row>
    <row r="329" spans="1:11" s="993" customFormat="1" x14ac:dyDescent="0.2">
      <c r="A329" s="850"/>
      <c r="B329" s="991">
        <v>30</v>
      </c>
      <c r="C329" s="992" t="s">
        <v>1196</v>
      </c>
      <c r="E329" s="2068" t="s">
        <v>1197</v>
      </c>
      <c r="F329" s="2069"/>
      <c r="G329" s="2069"/>
      <c r="H329" s="2069"/>
      <c r="I329" s="994"/>
    </row>
    <row r="330" spans="1:11" s="993" customFormat="1" x14ac:dyDescent="0.2">
      <c r="A330" s="850"/>
      <c r="B330" s="991"/>
      <c r="E330" s="995" t="s">
        <v>1198</v>
      </c>
      <c r="F330" s="994">
        <v>1</v>
      </c>
      <c r="G330" s="995" t="s">
        <v>1085</v>
      </c>
      <c r="H330" s="996">
        <f>SSR!E48</f>
        <v>2861</v>
      </c>
      <c r="I330" s="994">
        <f>H330</f>
        <v>2861</v>
      </c>
      <c r="J330" s="993" t="s">
        <v>1199</v>
      </c>
    </row>
    <row r="331" spans="1:11" s="993" customFormat="1" x14ac:dyDescent="0.2">
      <c r="A331" s="850"/>
      <c r="B331" s="991"/>
      <c r="E331" s="993" t="str">
        <f>+IF($I$4=0%,"---","Municipal allowance")</f>
        <v>Municipal allowance</v>
      </c>
      <c r="F331" s="994"/>
      <c r="G331" s="997">
        <f>$I$4</f>
        <v>0.2</v>
      </c>
      <c r="H331" s="996"/>
      <c r="I331" s="994">
        <f>I330*G331*0.25</f>
        <v>143.05000000000001</v>
      </c>
    </row>
    <row r="332" spans="1:11" s="993" customFormat="1" x14ac:dyDescent="0.2">
      <c r="A332" s="850"/>
      <c r="B332" s="991"/>
      <c r="E332" s="993" t="s">
        <v>2102</v>
      </c>
      <c r="F332" s="994"/>
      <c r="G332" s="997">
        <f>+$I$5</f>
        <v>0.13614999999999999</v>
      </c>
      <c r="H332" s="996"/>
      <c r="I332" s="994">
        <f>(I330+I331)*0.14</f>
        <v>420.56700000000006</v>
      </c>
    </row>
    <row r="333" spans="1:11" s="993" customFormat="1" x14ac:dyDescent="0.2">
      <c r="A333" s="850"/>
      <c r="B333" s="991"/>
      <c r="C333" s="998"/>
      <c r="F333" s="999"/>
      <c r="G333" s="998"/>
      <c r="I333" s="998">
        <f>ROUND(SUM(I330:I332),1)</f>
        <v>3424.6</v>
      </c>
    </row>
    <row r="335" spans="1:11" x14ac:dyDescent="0.2">
      <c r="B335" s="958">
        <v>30</v>
      </c>
      <c r="C335" s="2054" t="s">
        <v>1200</v>
      </c>
      <c r="D335" s="2054"/>
      <c r="E335" s="2054"/>
      <c r="F335" s="2054"/>
      <c r="G335" s="2054"/>
      <c r="H335" s="2054"/>
      <c r="I335" s="2054"/>
      <c r="J335" s="1000"/>
      <c r="K335" s="1000"/>
    </row>
    <row r="336" spans="1:11" x14ac:dyDescent="0.2">
      <c r="C336" s="129">
        <v>0.15</v>
      </c>
      <c r="D336" s="129" t="s">
        <v>20</v>
      </c>
      <c r="E336" s="129" t="s">
        <v>1120</v>
      </c>
      <c r="F336" s="295">
        <f>I196</f>
        <v>3051.6</v>
      </c>
      <c r="G336" s="129">
        <v>1</v>
      </c>
      <c r="H336" s="129" t="s">
        <v>20</v>
      </c>
      <c r="I336" s="295">
        <f>+F336*C336</f>
        <v>457.73999999999995</v>
      </c>
    </row>
    <row r="337" spans="1:11" x14ac:dyDescent="0.2">
      <c r="C337" s="295">
        <v>0.6</v>
      </c>
      <c r="D337" s="129" t="s">
        <v>1121</v>
      </c>
      <c r="E337" s="129" t="s">
        <v>1201</v>
      </c>
      <c r="F337" s="295">
        <f>G255</f>
        <v>420</v>
      </c>
      <c r="H337" s="129" t="s">
        <v>1202</v>
      </c>
      <c r="I337" s="295">
        <f>+F337*C337</f>
        <v>252</v>
      </c>
    </row>
    <row r="338" spans="1:11" x14ac:dyDescent="0.2">
      <c r="C338" s="295">
        <v>0.96</v>
      </c>
      <c r="D338" s="129" t="s">
        <v>1121</v>
      </c>
      <c r="E338" s="129" t="s">
        <v>1123</v>
      </c>
      <c r="F338" s="295">
        <f>SSR!$E$10</f>
        <v>320</v>
      </c>
      <c r="H338" s="129" t="s">
        <v>1202</v>
      </c>
      <c r="I338" s="295">
        <f>+F338*C338</f>
        <v>307.2</v>
      </c>
    </row>
    <row r="339" spans="1:11" x14ac:dyDescent="0.2">
      <c r="C339" s="295"/>
      <c r="E339" s="129" t="str">
        <f>+IF($I$4=0%,"---","Municipal allowance")</f>
        <v>Municipal allowance</v>
      </c>
      <c r="F339" s="928">
        <f>$I$4</f>
        <v>0.2</v>
      </c>
      <c r="I339" s="295">
        <f>(I337+I338)*F339</f>
        <v>111.84000000000002</v>
      </c>
    </row>
    <row r="340" spans="1:11" x14ac:dyDescent="0.2">
      <c r="C340" s="295"/>
      <c r="E340" s="129" t="s">
        <v>2102</v>
      </c>
      <c r="F340" s="295"/>
      <c r="G340" s="1940">
        <f>+$I$5</f>
        <v>0.13614999999999999</v>
      </c>
      <c r="I340" s="149">
        <f>SUM(I337:I339)*G340</f>
        <v>91.362096000000008</v>
      </c>
    </row>
    <row r="341" spans="1:11" ht="13.5" thickBot="1" x14ac:dyDescent="0.25">
      <c r="F341" s="295"/>
      <c r="I341" s="295"/>
    </row>
    <row r="342" spans="1:11" ht="13.5" thickBot="1" x14ac:dyDescent="0.25">
      <c r="A342" s="933"/>
      <c r="H342" s="129" t="s">
        <v>23</v>
      </c>
      <c r="I342" s="939">
        <f>ROUND(SUM(I336:I341),1)</f>
        <v>1220.0999999999999</v>
      </c>
    </row>
    <row r="343" spans="1:11" x14ac:dyDescent="0.2">
      <c r="D343" s="139" t="s">
        <v>1203</v>
      </c>
      <c r="K343" s="295"/>
    </row>
    <row r="344" spans="1:11" x14ac:dyDescent="0.2">
      <c r="K344" s="295"/>
    </row>
    <row r="345" spans="1:11" x14ac:dyDescent="0.2">
      <c r="C345" s="295">
        <v>480</v>
      </c>
      <c r="D345" s="129" t="s">
        <v>1069</v>
      </c>
      <c r="E345" s="129" t="s">
        <v>1204</v>
      </c>
      <c r="F345" s="295">
        <f>+Lead!K15</f>
        <v>6400</v>
      </c>
      <c r="G345" s="129">
        <v>1</v>
      </c>
      <c r="H345" s="129" t="s">
        <v>1205</v>
      </c>
      <c r="I345" s="295">
        <f>+C345*F345/1000</f>
        <v>3072</v>
      </c>
    </row>
    <row r="346" spans="1:11" x14ac:dyDescent="0.2">
      <c r="C346" s="295">
        <v>1.05</v>
      </c>
      <c r="D346" s="129" t="s">
        <v>20</v>
      </c>
      <c r="E346" s="129" t="s">
        <v>1206</v>
      </c>
      <c r="F346" s="295">
        <f>+Lead!K12</f>
        <v>1077.7366188443427</v>
      </c>
      <c r="G346" s="129">
        <v>1</v>
      </c>
      <c r="H346" s="129" t="s">
        <v>20</v>
      </c>
      <c r="I346" s="295">
        <f>+F346*C346</f>
        <v>1131.6234497865598</v>
      </c>
    </row>
    <row r="347" spans="1:11" x14ac:dyDescent="0.2">
      <c r="C347" s="295">
        <v>0.2</v>
      </c>
      <c r="D347" s="129" t="s">
        <v>1035</v>
      </c>
      <c r="E347" s="129" t="s">
        <v>1207</v>
      </c>
      <c r="F347" s="295">
        <f>SSR!$E$10</f>
        <v>320</v>
      </c>
      <c r="G347" s="129">
        <v>1</v>
      </c>
      <c r="H347" s="129" t="s">
        <v>1035</v>
      </c>
      <c r="I347" s="295">
        <f>+F347*C347</f>
        <v>64</v>
      </c>
    </row>
    <row r="348" spans="1:11" x14ac:dyDescent="0.2">
      <c r="C348" s="295"/>
      <c r="E348" s="129" t="str">
        <f>+IF($I$4=0%,"---","Municipal allowance")</f>
        <v>Municipal allowance</v>
      </c>
      <c r="F348" s="928">
        <f>$I$4</f>
        <v>0.2</v>
      </c>
      <c r="I348" s="295">
        <f>I347*F348</f>
        <v>12.8</v>
      </c>
    </row>
    <row r="349" spans="1:11" x14ac:dyDescent="0.2">
      <c r="C349" s="295"/>
      <c r="E349" s="129" t="s">
        <v>2102</v>
      </c>
      <c r="F349" s="960"/>
      <c r="G349" s="1940">
        <f>+$I$5</f>
        <v>0.13614999999999999</v>
      </c>
      <c r="I349" s="295">
        <f>SUM(I345:I348)*G349</f>
        <v>582.77965268844014</v>
      </c>
    </row>
    <row r="350" spans="1:11" x14ac:dyDescent="0.2">
      <c r="F350" s="980"/>
      <c r="I350" s="979">
        <f>ROUND(SUM(I345:I349),1)</f>
        <v>4863.2</v>
      </c>
    </row>
    <row r="351" spans="1:11" x14ac:dyDescent="0.2">
      <c r="F351" s="980"/>
      <c r="I351" s="980"/>
    </row>
    <row r="352" spans="1:11" x14ac:dyDescent="0.2">
      <c r="D352" s="139" t="s">
        <v>1208</v>
      </c>
      <c r="I352" s="295"/>
    </row>
    <row r="353" spans="2:11" x14ac:dyDescent="0.2">
      <c r="I353" s="295"/>
    </row>
    <row r="354" spans="2:11" x14ac:dyDescent="0.2">
      <c r="C354" s="295">
        <v>360</v>
      </c>
      <c r="D354" s="129" t="s">
        <v>1069</v>
      </c>
      <c r="E354" s="129" t="s">
        <v>1204</v>
      </c>
      <c r="F354" s="295">
        <f>F345</f>
        <v>6400</v>
      </c>
      <c r="G354" s="129">
        <v>1</v>
      </c>
      <c r="H354" s="129" t="s">
        <v>1205</v>
      </c>
      <c r="I354" s="295">
        <f>+C354*F354/1000</f>
        <v>2304</v>
      </c>
    </row>
    <row r="355" spans="2:11" x14ac:dyDescent="0.2">
      <c r="C355" s="295">
        <v>1.05</v>
      </c>
      <c r="D355" s="129" t="s">
        <v>20</v>
      </c>
      <c r="E355" s="129" t="s">
        <v>1206</v>
      </c>
      <c r="F355" s="295">
        <f>F346</f>
        <v>1077.7366188443427</v>
      </c>
      <c r="G355" s="129">
        <v>1</v>
      </c>
      <c r="H355" s="129" t="s">
        <v>20</v>
      </c>
      <c r="I355" s="295">
        <f>+F355*C355</f>
        <v>1131.6234497865598</v>
      </c>
    </row>
    <row r="356" spans="2:11" x14ac:dyDescent="0.2">
      <c r="C356" s="295">
        <v>0.2</v>
      </c>
      <c r="D356" s="129" t="s">
        <v>1035</v>
      </c>
      <c r="E356" s="129" t="s">
        <v>1037</v>
      </c>
      <c r="F356" s="960">
        <f>SSR!$E$10</f>
        <v>320</v>
      </c>
      <c r="G356" s="129">
        <v>1</v>
      </c>
      <c r="H356" s="129" t="s">
        <v>1035</v>
      </c>
      <c r="I356" s="295">
        <f>+F356*C356</f>
        <v>64</v>
      </c>
    </row>
    <row r="357" spans="2:11" x14ac:dyDescent="0.2">
      <c r="C357" s="295"/>
      <c r="E357" s="129" t="str">
        <f>+IF($I$4=0%,"---","Municipal allowance")</f>
        <v>Municipal allowance</v>
      </c>
      <c r="F357" s="928">
        <f>$I$4</f>
        <v>0.2</v>
      </c>
      <c r="I357" s="295">
        <f>I356*F357</f>
        <v>12.8</v>
      </c>
    </row>
    <row r="358" spans="2:11" x14ac:dyDescent="0.2">
      <c r="C358" s="295"/>
      <c r="E358" s="129" t="s">
        <v>2102</v>
      </c>
      <c r="F358" s="960"/>
      <c r="G358" s="1940">
        <f>+$I$5</f>
        <v>0.13614999999999999</v>
      </c>
      <c r="I358" s="295">
        <f>SUM(I354:I357)*G358</f>
        <v>478.21645268844014</v>
      </c>
    </row>
    <row r="359" spans="2:11" x14ac:dyDescent="0.2">
      <c r="F359" s="980"/>
      <c r="I359" s="979">
        <f>ROUND(SUM(I354:I358),1)</f>
        <v>3990.6</v>
      </c>
    </row>
    <row r="360" spans="2:11" x14ac:dyDescent="0.2">
      <c r="B360" s="324">
        <v>31</v>
      </c>
      <c r="C360" s="2054" t="s">
        <v>1209</v>
      </c>
      <c r="D360" s="2054"/>
      <c r="E360" s="2054"/>
      <c r="F360" s="2054"/>
      <c r="G360" s="2054"/>
      <c r="H360" s="2054"/>
      <c r="I360" s="2054"/>
      <c r="J360" s="2054"/>
      <c r="K360" s="2054"/>
    </row>
    <row r="361" spans="2:11" ht="14.25" x14ac:dyDescent="0.2">
      <c r="C361" s="942">
        <v>220</v>
      </c>
      <c r="D361" s="942" t="s">
        <v>1027</v>
      </c>
      <c r="E361" s="942" t="s">
        <v>971</v>
      </c>
      <c r="F361" s="295">
        <f>Lead!K15</f>
        <v>6400</v>
      </c>
      <c r="G361" s="515">
        <v>1</v>
      </c>
      <c r="H361" s="515" t="s">
        <v>1210</v>
      </c>
      <c r="I361" s="295">
        <f>+F361*C361/1000</f>
        <v>1408</v>
      </c>
    </row>
    <row r="362" spans="2:11" ht="14.25" x14ac:dyDescent="0.2">
      <c r="C362" s="942">
        <v>0.9</v>
      </c>
      <c r="D362" s="942" t="s">
        <v>1012</v>
      </c>
      <c r="E362" s="942" t="s">
        <v>1028</v>
      </c>
      <c r="F362" s="295">
        <f>Lead!K6</f>
        <v>1581.2582735554283</v>
      </c>
      <c r="G362" s="515">
        <v>1</v>
      </c>
      <c r="H362" s="515" t="s">
        <v>20</v>
      </c>
      <c r="I362" s="295">
        <f t="shared" ref="I362:I367" si="10">+F362*C362</f>
        <v>1423.1324461998856</v>
      </c>
    </row>
    <row r="363" spans="2:11" ht="14.25" x14ac:dyDescent="0.2">
      <c r="C363" s="942">
        <v>0.45</v>
      </c>
      <c r="D363" s="942" t="s">
        <v>1012</v>
      </c>
      <c r="E363" s="942" t="s">
        <v>1211</v>
      </c>
      <c r="F363" s="295">
        <f>Lead!K11</f>
        <v>1010.7366188443427</v>
      </c>
      <c r="G363" s="515">
        <v>1</v>
      </c>
      <c r="H363" s="515" t="s">
        <v>20</v>
      </c>
      <c r="I363" s="295">
        <f t="shared" si="10"/>
        <v>454.83147847995423</v>
      </c>
    </row>
    <row r="364" spans="2:11" ht="14.25" x14ac:dyDescent="0.2">
      <c r="C364" s="942">
        <v>1.2</v>
      </c>
      <c r="D364" s="942" t="s">
        <v>1031</v>
      </c>
      <c r="E364" s="942" t="s">
        <v>1032</v>
      </c>
      <c r="F364" s="295">
        <f>SSR!$E$18</f>
        <v>77</v>
      </c>
      <c r="G364" s="515">
        <v>1</v>
      </c>
      <c r="H364" s="515" t="s">
        <v>1212</v>
      </c>
      <c r="I364" s="295">
        <f t="shared" si="10"/>
        <v>92.399999999999991</v>
      </c>
    </row>
    <row r="365" spans="2:11" ht="42.75" x14ac:dyDescent="0.2">
      <c r="C365" s="942">
        <v>1</v>
      </c>
      <c r="D365" s="942" t="s">
        <v>1034</v>
      </c>
      <c r="E365" s="1001" t="s">
        <v>940</v>
      </c>
      <c r="F365" s="295">
        <f>SSR!$E$32</f>
        <v>338.6</v>
      </c>
      <c r="G365" s="515">
        <v>1</v>
      </c>
      <c r="H365" s="515" t="s">
        <v>1213</v>
      </c>
      <c r="I365" s="295">
        <f t="shared" si="10"/>
        <v>338.6</v>
      </c>
    </row>
    <row r="366" spans="2:11" ht="14.25" x14ac:dyDescent="0.2">
      <c r="C366" s="942">
        <v>0.1</v>
      </c>
      <c r="D366" s="942" t="s">
        <v>1035</v>
      </c>
      <c r="E366" s="942" t="s">
        <v>1036</v>
      </c>
      <c r="F366" s="295">
        <f>SSR!$E$8</f>
        <v>420</v>
      </c>
      <c r="G366" s="515">
        <v>1</v>
      </c>
      <c r="H366" s="1002" t="s">
        <v>1035</v>
      </c>
      <c r="I366" s="295">
        <f t="shared" si="10"/>
        <v>42</v>
      </c>
    </row>
    <row r="367" spans="2:11" ht="14.25" x14ac:dyDescent="0.2">
      <c r="C367" s="942">
        <v>1.39</v>
      </c>
      <c r="D367" s="942" t="s">
        <v>1035</v>
      </c>
      <c r="E367" s="942" t="s">
        <v>1037</v>
      </c>
      <c r="F367" s="949">
        <f>SSR!$E$10</f>
        <v>320</v>
      </c>
      <c r="G367" s="515">
        <v>1</v>
      </c>
      <c r="H367" s="1002" t="s">
        <v>1035</v>
      </c>
      <c r="I367" s="295">
        <f t="shared" si="10"/>
        <v>444.79999999999995</v>
      </c>
    </row>
    <row r="368" spans="2:11" ht="14.25" x14ac:dyDescent="0.2">
      <c r="C368" s="295"/>
      <c r="E368" s="942" t="s">
        <v>1038</v>
      </c>
      <c r="F368" s="960"/>
      <c r="G368" s="515"/>
      <c r="H368" s="515"/>
      <c r="I368" s="295">
        <f>SUM(I366:I367)*1%</f>
        <v>4.8679999999999994</v>
      </c>
    </row>
    <row r="369" spans="1:13" x14ac:dyDescent="0.2">
      <c r="C369" s="295"/>
      <c r="E369" s="129" t="str">
        <f>+IF($I$4=0%,"---","Municipal allowance")</f>
        <v>Municipal allowance</v>
      </c>
      <c r="F369" s="928">
        <f>$I$4</f>
        <v>0.2</v>
      </c>
      <c r="I369" s="295">
        <f>(I366+I367)*F369</f>
        <v>97.36</v>
      </c>
    </row>
    <row r="370" spans="1:13" x14ac:dyDescent="0.2">
      <c r="C370" s="295"/>
      <c r="E370" s="129" t="s">
        <v>2102</v>
      </c>
      <c r="F370" s="295"/>
      <c r="G370" s="1940">
        <f>+$I$5</f>
        <v>0.13614999999999999</v>
      </c>
      <c r="I370" s="149">
        <f>SUM(I361:I369)*G370</f>
        <v>586.26080054516012</v>
      </c>
    </row>
    <row r="371" spans="1:13" ht="13.5" thickBot="1" x14ac:dyDescent="0.25">
      <c r="C371" s="295"/>
      <c r="E371" s="536" t="s">
        <v>1088</v>
      </c>
      <c r="F371" s="295"/>
      <c r="I371" s="295"/>
    </row>
    <row r="372" spans="1:13" ht="13.5" thickBot="1" x14ac:dyDescent="0.25">
      <c r="H372" s="129" t="s">
        <v>23</v>
      </c>
      <c r="I372" s="939">
        <f>ROUND(SUM(I361:I371),1)</f>
        <v>4892.3</v>
      </c>
    </row>
    <row r="375" spans="1:13" s="1006" customFormat="1" ht="38.25" x14ac:dyDescent="0.2">
      <c r="A375" s="867"/>
      <c r="B375" s="1003">
        <v>32</v>
      </c>
      <c r="C375" s="2067" t="s">
        <v>1214</v>
      </c>
      <c r="D375" s="2067"/>
      <c r="E375" s="2067"/>
      <c r="F375" s="2067"/>
      <c r="G375" s="2067"/>
      <c r="H375" s="2067"/>
      <c r="I375" s="2067"/>
      <c r="J375" s="1004" t="s">
        <v>1215</v>
      </c>
      <c r="K375" s="1005"/>
    </row>
    <row r="376" spans="1:13" s="842" customFormat="1" ht="14.25" x14ac:dyDescent="0.2">
      <c r="A376" s="846"/>
      <c r="B376" s="1007"/>
      <c r="C376" s="1005"/>
      <c r="D376" s="1008" t="s">
        <v>1067</v>
      </c>
      <c r="E376" s="1005"/>
      <c r="F376" s="1005"/>
      <c r="G376" s="1005"/>
      <c r="H376" s="1005"/>
      <c r="I376" s="1005"/>
      <c r="J376" s="1005"/>
      <c r="K376" s="1005"/>
    </row>
    <row r="377" spans="1:13" s="842" customFormat="1" ht="14.25" x14ac:dyDescent="0.2">
      <c r="A377" s="846"/>
      <c r="B377" s="1009"/>
      <c r="C377" s="1008">
        <v>0.8</v>
      </c>
      <c r="D377" s="1008" t="s">
        <v>1012</v>
      </c>
      <c r="E377" s="842" t="s">
        <v>1068</v>
      </c>
      <c r="F377" s="1010">
        <f>Lead!K7</f>
        <v>1946.2582735554283</v>
      </c>
      <c r="G377" s="841">
        <v>1</v>
      </c>
      <c r="H377" s="1011" t="s">
        <v>1012</v>
      </c>
      <c r="I377" s="1010">
        <f>+F377*C377</f>
        <v>1557.0066188443427</v>
      </c>
      <c r="K377" s="1012"/>
      <c r="L377" s="1013"/>
      <c r="M377" s="1013"/>
    </row>
    <row r="378" spans="1:13" s="842" customFormat="1" ht="14.25" x14ac:dyDescent="0.2">
      <c r="A378" s="846"/>
      <c r="B378" s="1009"/>
      <c r="C378" s="1008">
        <v>0.4</v>
      </c>
      <c r="D378" s="1008" t="s">
        <v>1012</v>
      </c>
      <c r="E378" s="842" t="s">
        <v>276</v>
      </c>
      <c r="F378" s="1010">
        <f>Lead!K11</f>
        <v>1010.7366188443427</v>
      </c>
      <c r="G378" s="841">
        <v>1</v>
      </c>
      <c r="H378" s="1011" t="s">
        <v>1012</v>
      </c>
      <c r="I378" s="1010">
        <f>+F378*C378</f>
        <v>404.29464753773709</v>
      </c>
      <c r="K378" s="1012"/>
      <c r="L378" s="1013"/>
      <c r="M378" s="1013"/>
    </row>
    <row r="379" spans="1:13" s="842" customFormat="1" ht="14.25" x14ac:dyDescent="0.2">
      <c r="A379" s="846"/>
      <c r="B379" s="1009"/>
      <c r="C379" s="1008">
        <v>400</v>
      </c>
      <c r="D379" s="1008" t="s">
        <v>1069</v>
      </c>
      <c r="E379" s="842" t="s">
        <v>971</v>
      </c>
      <c r="F379" s="1010">
        <f>Lead!K15</f>
        <v>6400</v>
      </c>
      <c r="G379" s="841">
        <v>1</v>
      </c>
      <c r="H379" s="1011" t="s">
        <v>1069</v>
      </c>
      <c r="I379" s="1010">
        <f>+F379*C379/1000</f>
        <v>2560</v>
      </c>
      <c r="K379" s="1012"/>
      <c r="L379" s="1013"/>
      <c r="M379" s="1014"/>
    </row>
    <row r="380" spans="1:13" s="842" customFormat="1" ht="14.25" x14ac:dyDescent="0.2">
      <c r="A380" s="846"/>
      <c r="B380" s="1009"/>
      <c r="C380" s="1008">
        <v>0.13300000000000001</v>
      </c>
      <c r="D380" s="1008" t="s">
        <v>1035</v>
      </c>
      <c r="E380" s="842" t="s">
        <v>1070</v>
      </c>
      <c r="F380" s="1010">
        <f>SSR!$E$8</f>
        <v>420</v>
      </c>
      <c r="G380" s="841">
        <v>1</v>
      </c>
      <c r="H380" s="1011" t="s">
        <v>1035</v>
      </c>
      <c r="I380" s="1010">
        <f t="shared" ref="I380:I386" si="11">+F380*C380</f>
        <v>55.86</v>
      </c>
      <c r="K380" s="1012"/>
      <c r="L380" s="1013"/>
      <c r="M380" s="1014"/>
    </row>
    <row r="381" spans="1:13" s="842" customFormat="1" ht="14.25" x14ac:dyDescent="0.2">
      <c r="A381" s="846"/>
      <c r="B381" s="1009"/>
      <c r="C381" s="1008">
        <v>0.26700000000000002</v>
      </c>
      <c r="D381" s="1008" t="s">
        <v>1035</v>
      </c>
      <c r="E381" s="842" t="s">
        <v>1071</v>
      </c>
      <c r="F381" s="1010">
        <f>SSR!$E$9</f>
        <v>375</v>
      </c>
      <c r="G381" s="841">
        <v>1</v>
      </c>
      <c r="H381" s="1011" t="s">
        <v>1035</v>
      </c>
      <c r="I381" s="1010">
        <f t="shared" si="11"/>
        <v>100.125</v>
      </c>
      <c r="K381" s="1015"/>
      <c r="L381" s="1013"/>
      <c r="M381" s="1014"/>
    </row>
    <row r="382" spans="1:13" s="842" customFormat="1" ht="14.25" x14ac:dyDescent="0.2">
      <c r="A382" s="846"/>
      <c r="B382" s="1009"/>
      <c r="C382" s="1008">
        <v>4.5999999999999996</v>
      </c>
      <c r="D382" s="1008" t="s">
        <v>1035</v>
      </c>
      <c r="E382" s="842" t="s">
        <v>1072</v>
      </c>
      <c r="F382" s="1010">
        <f>SSR!$E$10</f>
        <v>320</v>
      </c>
      <c r="G382" s="841">
        <v>1</v>
      </c>
      <c r="H382" s="1011" t="s">
        <v>1035</v>
      </c>
      <c r="I382" s="1010">
        <f t="shared" si="11"/>
        <v>1472</v>
      </c>
      <c r="K382" s="1012"/>
      <c r="L382" s="1013"/>
      <c r="M382" s="1014"/>
    </row>
    <row r="383" spans="1:13" s="842" customFormat="1" ht="28.5" x14ac:dyDescent="0.2">
      <c r="A383" s="846"/>
      <c r="B383" s="1009"/>
      <c r="C383" s="1008">
        <v>1.333</v>
      </c>
      <c r="D383" s="1008" t="s">
        <v>1034</v>
      </c>
      <c r="E383" s="1016" t="s">
        <v>1216</v>
      </c>
      <c r="F383" s="1010">
        <f>SSR!$E$51</f>
        <v>556.79999999999995</v>
      </c>
      <c r="G383" s="841">
        <v>1</v>
      </c>
      <c r="H383" s="1011" t="s">
        <v>1034</v>
      </c>
      <c r="I383" s="1010">
        <f t="shared" si="11"/>
        <v>742.21439999999996</v>
      </c>
      <c r="K383" s="1012"/>
      <c r="L383" s="1013"/>
      <c r="M383" s="1014"/>
    </row>
    <row r="384" spans="1:13" s="842" customFormat="1" ht="14.25" x14ac:dyDescent="0.2">
      <c r="A384" s="846"/>
      <c r="B384" s="1009"/>
      <c r="C384" s="1008">
        <v>0</v>
      </c>
      <c r="D384" s="1008" t="s">
        <v>1074</v>
      </c>
      <c r="E384" s="842" t="s">
        <v>943</v>
      </c>
      <c r="F384" s="1010">
        <f>SSR!$E$33</f>
        <v>57</v>
      </c>
      <c r="G384" s="841">
        <v>1</v>
      </c>
      <c r="H384" s="1011" t="s">
        <v>1074</v>
      </c>
      <c r="I384" s="1010">
        <f t="shared" si="11"/>
        <v>0</v>
      </c>
    </row>
    <row r="385" spans="1:11" s="842" customFormat="1" ht="14.25" x14ac:dyDescent="0.2">
      <c r="A385" s="846"/>
      <c r="B385" s="1009"/>
      <c r="C385" s="1008">
        <v>0</v>
      </c>
      <c r="D385" s="1008" t="s">
        <v>1074</v>
      </c>
      <c r="E385" s="842" t="s">
        <v>1075</v>
      </c>
      <c r="F385" s="1010">
        <f>SSR!E34</f>
        <v>69</v>
      </c>
      <c r="G385" s="841">
        <v>1</v>
      </c>
      <c r="H385" s="1011" t="s">
        <v>1074</v>
      </c>
      <c r="I385" s="1010">
        <f t="shared" si="11"/>
        <v>0</v>
      </c>
    </row>
    <row r="386" spans="1:11" s="842" customFormat="1" ht="14.25" x14ac:dyDescent="0.2">
      <c r="A386" s="846"/>
      <c r="B386" s="1009"/>
      <c r="C386" s="1008">
        <v>1.2</v>
      </c>
      <c r="D386" s="1008" t="s">
        <v>1031</v>
      </c>
      <c r="E386" s="842" t="s">
        <v>1032</v>
      </c>
      <c r="F386" s="1017">
        <f>SSR!E18</f>
        <v>77</v>
      </c>
      <c r="G386" s="841">
        <v>1</v>
      </c>
      <c r="H386" s="1011" t="s">
        <v>1031</v>
      </c>
      <c r="I386" s="1010">
        <f t="shared" si="11"/>
        <v>92.399999999999991</v>
      </c>
    </row>
    <row r="387" spans="1:11" s="842" customFormat="1" ht="14.25" x14ac:dyDescent="0.2">
      <c r="A387" s="846"/>
      <c r="B387" s="1009"/>
      <c r="C387" s="1008"/>
      <c r="D387" s="1008"/>
      <c r="E387" s="842" t="str">
        <f>+IF($I$4=0%,"---","Municipal allowance")</f>
        <v>Municipal allowance</v>
      </c>
      <c r="F387" s="1018">
        <f>$I$4</f>
        <v>0.2</v>
      </c>
      <c r="G387" s="841"/>
      <c r="H387" s="1011"/>
      <c r="I387" s="1010">
        <f>(I380+I381+I382)*F387</f>
        <v>325.59700000000004</v>
      </c>
    </row>
    <row r="388" spans="1:11" s="842" customFormat="1" ht="13.5" thickBot="1" x14ac:dyDescent="0.25">
      <c r="A388" s="846"/>
      <c r="B388" s="1009"/>
      <c r="C388" s="1010"/>
      <c r="E388" s="842" t="s">
        <v>2102</v>
      </c>
      <c r="F388" s="1010"/>
      <c r="G388" s="1941">
        <f>+$I$5</f>
        <v>0.13614999999999999</v>
      </c>
      <c r="I388" s="1019">
        <f>SUM(I377:I387)*G388</f>
        <v>995.18810727792004</v>
      </c>
    </row>
    <row r="389" spans="1:11" s="842" customFormat="1" ht="13.5" thickBot="1" x14ac:dyDescent="0.25">
      <c r="A389" s="846"/>
      <c r="B389" s="1009"/>
      <c r="H389" s="842" t="s">
        <v>23</v>
      </c>
      <c r="I389" s="1020">
        <f>ROUND(SUM(I377:I388),1)</f>
        <v>8304.7000000000007</v>
      </c>
    </row>
    <row r="390" spans="1:11" s="842" customFormat="1" x14ac:dyDescent="0.2">
      <c r="A390" s="846"/>
      <c r="B390" s="1009"/>
      <c r="I390" s="1021"/>
    </row>
    <row r="391" spans="1:11" s="842" customFormat="1" ht="14.25" x14ac:dyDescent="0.2">
      <c r="A391" s="846"/>
      <c r="B391" s="1009">
        <v>33</v>
      </c>
      <c r="D391" s="1022" t="s">
        <v>1077</v>
      </c>
      <c r="K391" s="1021"/>
    </row>
    <row r="392" spans="1:11" s="842" customFormat="1" ht="14.25" x14ac:dyDescent="0.2">
      <c r="A392" s="846"/>
      <c r="B392" s="1009"/>
      <c r="C392" s="1008">
        <v>0.8</v>
      </c>
      <c r="D392" s="1008" t="s">
        <v>1012</v>
      </c>
      <c r="E392" s="842" t="s">
        <v>1068</v>
      </c>
      <c r="F392" s="1010">
        <f>F377</f>
        <v>1946.2582735554283</v>
      </c>
      <c r="G392" s="842">
        <v>1</v>
      </c>
      <c r="H392" s="1008" t="s">
        <v>1035</v>
      </c>
      <c r="I392" s="1010">
        <f>+F392*C392</f>
        <v>1557.0066188443427</v>
      </c>
    </row>
    <row r="393" spans="1:11" s="842" customFormat="1" ht="14.25" x14ac:dyDescent="0.2">
      <c r="A393" s="846"/>
      <c r="B393" s="1009"/>
      <c r="C393" s="1008">
        <v>0.4</v>
      </c>
      <c r="D393" s="1008" t="s">
        <v>1012</v>
      </c>
      <c r="E393" s="842" t="s">
        <v>276</v>
      </c>
      <c r="F393" s="1010">
        <f>F378</f>
        <v>1010.7366188443427</v>
      </c>
      <c r="G393" s="842">
        <v>1</v>
      </c>
      <c r="H393" s="1008" t="s">
        <v>1035</v>
      </c>
      <c r="I393" s="1010">
        <f>+F393*C393</f>
        <v>404.29464753773709</v>
      </c>
    </row>
    <row r="394" spans="1:11" s="842" customFormat="1" ht="14.25" x14ac:dyDescent="0.2">
      <c r="A394" s="846"/>
      <c r="B394" s="1009"/>
      <c r="C394" s="1023">
        <v>400</v>
      </c>
      <c r="D394" s="1008" t="s">
        <v>1069</v>
      </c>
      <c r="E394" s="842" t="s">
        <v>971</v>
      </c>
      <c r="F394" s="1010">
        <f>F379</f>
        <v>6400</v>
      </c>
      <c r="G394" s="842">
        <v>1</v>
      </c>
      <c r="H394" s="1008" t="s">
        <v>1035</v>
      </c>
      <c r="I394" s="1010">
        <f>+F394*C394/1000</f>
        <v>2560</v>
      </c>
    </row>
    <row r="395" spans="1:11" s="842" customFormat="1" ht="14.25" x14ac:dyDescent="0.2">
      <c r="A395" s="846"/>
      <c r="B395" s="1009"/>
      <c r="C395" s="1008">
        <v>0.16700000000000001</v>
      </c>
      <c r="D395" s="1008" t="s">
        <v>1035</v>
      </c>
      <c r="E395" s="842" t="s">
        <v>1070</v>
      </c>
      <c r="F395" s="1010">
        <f>SSR!$E$8</f>
        <v>420</v>
      </c>
      <c r="G395" s="842">
        <v>1</v>
      </c>
      <c r="H395" s="1008" t="s">
        <v>1035</v>
      </c>
      <c r="I395" s="1010">
        <f>+F395*C395</f>
        <v>70.14</v>
      </c>
    </row>
    <row r="396" spans="1:11" s="842" customFormat="1" ht="14.25" x14ac:dyDescent="0.2">
      <c r="A396" s="846"/>
      <c r="B396" s="1009"/>
      <c r="C396" s="1008">
        <v>0.16700000000000001</v>
      </c>
      <c r="D396" s="1008" t="s">
        <v>1035</v>
      </c>
      <c r="E396" s="842" t="s">
        <v>1071</v>
      </c>
      <c r="F396" s="1010">
        <f>SSR!$E$9</f>
        <v>375</v>
      </c>
      <c r="G396" s="842">
        <v>1</v>
      </c>
      <c r="H396" s="1008" t="s">
        <v>1035</v>
      </c>
      <c r="I396" s="1010">
        <f>+F396*C396</f>
        <v>62.625000000000007</v>
      </c>
    </row>
    <row r="397" spans="1:11" s="842" customFormat="1" ht="14.25" x14ac:dyDescent="0.2">
      <c r="A397" s="846"/>
      <c r="B397" s="1009"/>
      <c r="C397" s="1008">
        <v>5.6</v>
      </c>
      <c r="D397" s="1008" t="s">
        <v>1035</v>
      </c>
      <c r="E397" s="842" t="s">
        <v>1072</v>
      </c>
      <c r="F397" s="1010">
        <f>SSR!$E$10</f>
        <v>320</v>
      </c>
      <c r="G397" s="842">
        <v>1</v>
      </c>
      <c r="H397" s="1008" t="s">
        <v>1035</v>
      </c>
      <c r="I397" s="1010">
        <f>+F397*C397</f>
        <v>1792</v>
      </c>
    </row>
    <row r="398" spans="1:11" s="842" customFormat="1" ht="28.5" x14ac:dyDescent="0.2">
      <c r="A398" s="846"/>
      <c r="B398" s="1009"/>
      <c r="C398" s="1008">
        <v>1.333</v>
      </c>
      <c r="D398" s="1008" t="s">
        <v>1034</v>
      </c>
      <c r="E398" s="1016" t="str">
        <f>E383</f>
        <v>Weigh Batcher hire charges</v>
      </c>
      <c r="F398" s="1010">
        <f>SSR!$E$51</f>
        <v>556.79999999999995</v>
      </c>
      <c r="G398" s="842">
        <v>1</v>
      </c>
      <c r="H398" s="1008" t="s">
        <v>1035</v>
      </c>
      <c r="I398" s="1010">
        <f>+F398*C398</f>
        <v>742.21439999999996</v>
      </c>
    </row>
    <row r="399" spans="1:11" s="842" customFormat="1" ht="14.25" x14ac:dyDescent="0.2">
      <c r="A399" s="846"/>
      <c r="B399" s="1009"/>
      <c r="C399" s="1008">
        <v>1.2</v>
      </c>
      <c r="D399" s="1008" t="s">
        <v>1031</v>
      </c>
      <c r="E399" s="842" t="s">
        <v>1032</v>
      </c>
      <c r="F399" s="1017">
        <f>SSR!E18</f>
        <v>77</v>
      </c>
      <c r="G399" s="842">
        <v>1</v>
      </c>
      <c r="H399" s="1008" t="s">
        <v>1035</v>
      </c>
      <c r="I399" s="1019">
        <f>+F399*C399</f>
        <v>92.399999999999991</v>
      </c>
    </row>
    <row r="400" spans="1:11" s="842" customFormat="1" ht="14.25" x14ac:dyDescent="0.2">
      <c r="A400" s="846"/>
      <c r="B400" s="1009"/>
      <c r="C400" s="1008"/>
      <c r="D400" s="1008"/>
      <c r="E400" s="842" t="str">
        <f>+IF($I$4=0%,"---","Municipal allowance")</f>
        <v>Municipal allowance</v>
      </c>
      <c r="F400" s="1018">
        <f>$I$4</f>
        <v>0.2</v>
      </c>
      <c r="H400" s="1008"/>
      <c r="I400" s="1019">
        <f>(I395+I396+I397)*F400</f>
        <v>384.95300000000003</v>
      </c>
    </row>
    <row r="401" spans="1:11" s="842" customFormat="1" ht="13.5" thickBot="1" x14ac:dyDescent="0.25">
      <c r="A401" s="846"/>
      <c r="B401" s="1009"/>
      <c r="E401" s="842" t="s">
        <v>2102</v>
      </c>
      <c r="F401" s="1010"/>
      <c r="G401" s="1941">
        <f>+$I$5</f>
        <v>0.13614999999999999</v>
      </c>
      <c r="I401" s="1019">
        <f>SUM(I392:I400)*G401</f>
        <v>1043.6760236779203</v>
      </c>
    </row>
    <row r="402" spans="1:11" s="842" customFormat="1" ht="13.5" thickBot="1" x14ac:dyDescent="0.25">
      <c r="A402" s="846"/>
      <c r="B402" s="1009"/>
      <c r="I402" s="1020">
        <f>ROUND(SUM(I392:I401),1)</f>
        <v>8709.2999999999993</v>
      </c>
    </row>
    <row r="403" spans="1:11" s="842" customFormat="1" ht="14.25" x14ac:dyDescent="0.2">
      <c r="A403" s="846"/>
      <c r="B403" s="1009">
        <v>34</v>
      </c>
      <c r="D403" s="1022" t="s">
        <v>1079</v>
      </c>
      <c r="K403" s="1021"/>
    </row>
    <row r="404" spans="1:11" s="842" customFormat="1" ht="14.25" x14ac:dyDescent="0.2">
      <c r="A404" s="846"/>
      <c r="B404" s="1009"/>
      <c r="C404" s="1008">
        <v>0.8</v>
      </c>
      <c r="D404" s="1008" t="s">
        <v>1012</v>
      </c>
      <c r="E404" s="842" t="s">
        <v>1068</v>
      </c>
      <c r="F404" s="1010">
        <f>F392</f>
        <v>1946.2582735554283</v>
      </c>
      <c r="G404" s="842">
        <v>1</v>
      </c>
      <c r="H404" s="1008" t="s">
        <v>1035</v>
      </c>
      <c r="I404" s="1010">
        <f>+F404*C404</f>
        <v>1557.0066188443427</v>
      </c>
    </row>
    <row r="405" spans="1:11" s="842" customFormat="1" ht="14.25" x14ac:dyDescent="0.2">
      <c r="A405" s="846"/>
      <c r="B405" s="1009"/>
      <c r="C405" s="1008">
        <v>0.4</v>
      </c>
      <c r="D405" s="1008" t="s">
        <v>1012</v>
      </c>
      <c r="E405" s="842" t="s">
        <v>276</v>
      </c>
      <c r="F405" s="1010">
        <f>F393</f>
        <v>1010.7366188443427</v>
      </c>
      <c r="G405" s="842">
        <v>1</v>
      </c>
      <c r="H405" s="1008" t="s">
        <v>1035</v>
      </c>
      <c r="I405" s="1010">
        <f>+F405*C405</f>
        <v>404.29464753773709</v>
      </c>
    </row>
    <row r="406" spans="1:11" s="842" customFormat="1" ht="14.25" x14ac:dyDescent="0.2">
      <c r="A406" s="846"/>
      <c r="B406" s="1009"/>
      <c r="C406" s="1023">
        <v>400</v>
      </c>
      <c r="D406" s="1008" t="s">
        <v>1069</v>
      </c>
      <c r="E406" s="842" t="s">
        <v>971</v>
      </c>
      <c r="F406" s="1010">
        <f>F394</f>
        <v>6400</v>
      </c>
      <c r="G406" s="842">
        <v>1</v>
      </c>
      <c r="H406" s="1008" t="s">
        <v>1035</v>
      </c>
      <c r="I406" s="1010">
        <f>+F406*C406/1000</f>
        <v>2560</v>
      </c>
    </row>
    <row r="407" spans="1:11" s="842" customFormat="1" ht="14.25" x14ac:dyDescent="0.2">
      <c r="A407" s="846"/>
      <c r="B407" s="1009"/>
      <c r="C407" s="1008">
        <v>6.7000000000000004E-2</v>
      </c>
      <c r="D407" s="1008" t="s">
        <v>1035</v>
      </c>
      <c r="E407" s="842" t="s">
        <v>1070</v>
      </c>
      <c r="F407" s="1010">
        <f>+SSR!$E$8</f>
        <v>420</v>
      </c>
      <c r="G407" s="842">
        <v>1</v>
      </c>
      <c r="H407" s="1008" t="s">
        <v>1035</v>
      </c>
      <c r="I407" s="1010">
        <f>+F407*C407</f>
        <v>28.14</v>
      </c>
    </row>
    <row r="408" spans="1:11" s="842" customFormat="1" ht="14.25" x14ac:dyDescent="0.2">
      <c r="A408" s="846"/>
      <c r="B408" s="1009"/>
      <c r="C408" s="1008">
        <v>0.13300000000000001</v>
      </c>
      <c r="D408" s="1008" t="s">
        <v>1035</v>
      </c>
      <c r="E408" s="842" t="s">
        <v>1071</v>
      </c>
      <c r="F408" s="1010">
        <f>F396</f>
        <v>375</v>
      </c>
      <c r="G408" s="842">
        <v>1</v>
      </c>
      <c r="H408" s="1008" t="s">
        <v>1035</v>
      </c>
      <c r="I408" s="1010">
        <f>+F408*C408</f>
        <v>49.875</v>
      </c>
    </row>
    <row r="409" spans="1:11" s="842" customFormat="1" ht="14.25" x14ac:dyDescent="0.2">
      <c r="A409" s="846"/>
      <c r="B409" s="1009"/>
      <c r="C409" s="1008">
        <v>3.077</v>
      </c>
      <c r="D409" s="1008" t="s">
        <v>1035</v>
      </c>
      <c r="E409" s="842" t="s">
        <v>1072</v>
      </c>
      <c r="F409" s="1010">
        <f>SSR!$E$10</f>
        <v>320</v>
      </c>
      <c r="G409" s="842">
        <v>1</v>
      </c>
      <c r="H409" s="1008" t="s">
        <v>1035</v>
      </c>
      <c r="I409" s="1010">
        <f>+F409*C409</f>
        <v>984.64</v>
      </c>
    </row>
    <row r="410" spans="1:11" s="842" customFormat="1" ht="28.5" x14ac:dyDescent="0.2">
      <c r="A410" s="846"/>
      <c r="B410" s="1009"/>
      <c r="C410" s="1008">
        <v>0.308</v>
      </c>
      <c r="D410" s="1008" t="s">
        <v>1034</v>
      </c>
      <c r="E410" s="1016" t="str">
        <f>E398</f>
        <v>Weigh Batcher hire charges</v>
      </c>
      <c r="F410" s="1010">
        <f>SSR!$E$51</f>
        <v>556.79999999999995</v>
      </c>
      <c r="G410" s="842">
        <v>1</v>
      </c>
      <c r="H410" s="1008" t="s">
        <v>1035</v>
      </c>
      <c r="I410" s="1010">
        <f>+F410*C410</f>
        <v>171.49439999999998</v>
      </c>
    </row>
    <row r="411" spans="1:11" s="842" customFormat="1" ht="14.25" x14ac:dyDescent="0.2">
      <c r="A411" s="846"/>
      <c r="B411" s="1009"/>
      <c r="C411" s="1008">
        <v>1.2</v>
      </c>
      <c r="D411" s="1008" t="s">
        <v>1031</v>
      </c>
      <c r="E411" s="842" t="s">
        <v>1032</v>
      </c>
      <c r="F411" s="1010">
        <f>SSR!E18</f>
        <v>77</v>
      </c>
      <c r="G411" s="842">
        <v>1</v>
      </c>
      <c r="H411" s="1008" t="s">
        <v>1035</v>
      </c>
      <c r="I411" s="1010">
        <f>+F411*C411</f>
        <v>92.399999999999991</v>
      </c>
    </row>
    <row r="412" spans="1:11" s="842" customFormat="1" ht="14.25" x14ac:dyDescent="0.2">
      <c r="A412" s="846"/>
      <c r="B412" s="1009"/>
      <c r="C412" s="1008"/>
      <c r="D412" s="1008"/>
      <c r="E412" s="842" t="str">
        <f>+IF($I$4=0%,"---","Municipal allowance")</f>
        <v>Municipal allowance</v>
      </c>
      <c r="F412" s="1018">
        <f>$I$4</f>
        <v>0.2</v>
      </c>
      <c r="H412" s="1008"/>
      <c r="I412" s="1010">
        <f>(I407+I408+I409)*F412</f>
        <v>212.53100000000001</v>
      </c>
    </row>
    <row r="413" spans="1:11" s="842" customFormat="1" ht="13.5" thickBot="1" x14ac:dyDescent="0.25">
      <c r="A413" s="846"/>
      <c r="B413" s="1009"/>
      <c r="E413" s="842" t="s">
        <v>2102</v>
      </c>
      <c r="F413" s="1010"/>
      <c r="G413" s="1941">
        <f>+$I$5</f>
        <v>0.13614999999999999</v>
      </c>
      <c r="I413" s="1019">
        <f>ROUND(SUM(I404:I412)*G413,1)</f>
        <v>825.1</v>
      </c>
    </row>
    <row r="414" spans="1:11" s="842" customFormat="1" ht="13.5" thickBot="1" x14ac:dyDescent="0.25">
      <c r="A414" s="846"/>
      <c r="B414" s="1009"/>
      <c r="I414" s="1020">
        <f>ROUND(SUM(I404:I413),1)</f>
        <v>6885.5</v>
      </c>
    </row>
    <row r="415" spans="1:11" s="842" customFormat="1" x14ac:dyDescent="0.2">
      <c r="A415" s="846"/>
      <c r="B415" s="1009"/>
      <c r="K415" s="1021"/>
    </row>
    <row r="416" spans="1:11" ht="42" customHeight="1" x14ac:dyDescent="0.2">
      <c r="B416" s="958">
        <v>35</v>
      </c>
      <c r="C416" s="2062" t="s">
        <v>1217</v>
      </c>
      <c r="D416" s="2062"/>
      <c r="E416" s="2062"/>
      <c r="F416" s="2062"/>
      <c r="G416" s="2062"/>
      <c r="H416" s="2062"/>
      <c r="I416" s="2062"/>
      <c r="J416" s="2062"/>
      <c r="K416" s="2062"/>
    </row>
    <row r="417" spans="1:11" x14ac:dyDescent="0.2">
      <c r="D417" s="1024"/>
      <c r="K417" s="295"/>
    </row>
    <row r="418" spans="1:11" x14ac:dyDescent="0.2">
      <c r="C418" s="295">
        <v>1</v>
      </c>
      <c r="D418" s="129" t="s">
        <v>20</v>
      </c>
      <c r="E418" s="129" t="s">
        <v>1084</v>
      </c>
      <c r="F418" s="295">
        <f>I389</f>
        <v>8304.7000000000007</v>
      </c>
      <c r="G418" s="515">
        <v>1</v>
      </c>
      <c r="H418" s="515" t="s">
        <v>1087</v>
      </c>
      <c r="I418" s="295">
        <f>+F418*C418</f>
        <v>8304.7000000000007</v>
      </c>
    </row>
    <row r="419" spans="1:11" x14ac:dyDescent="0.2">
      <c r="C419" s="295">
        <v>1</v>
      </c>
      <c r="D419" s="129" t="s">
        <v>20</v>
      </c>
      <c r="E419" s="129" t="s">
        <v>1086</v>
      </c>
      <c r="F419" s="960">
        <f>SSR!E6</f>
        <v>750</v>
      </c>
      <c r="G419" s="515">
        <v>1</v>
      </c>
      <c r="H419" s="515" t="s">
        <v>20</v>
      </c>
      <c r="I419" s="295">
        <f>+F419*C419</f>
        <v>750</v>
      </c>
    </row>
    <row r="420" spans="1:11" x14ac:dyDescent="0.2">
      <c r="C420" s="295"/>
      <c r="E420" s="129" t="str">
        <f>+IF($I$4=0%,"---","Municipal allowance")</f>
        <v>Municipal allowance</v>
      </c>
      <c r="F420" s="928">
        <f>$I$4</f>
        <v>0.2</v>
      </c>
      <c r="G420" s="515"/>
      <c r="H420" s="515"/>
      <c r="I420" s="295">
        <f>I419*0.25*F420</f>
        <v>37.5</v>
      </c>
    </row>
    <row r="421" spans="1:11" x14ac:dyDescent="0.2">
      <c r="C421" s="295"/>
      <c r="E421" s="129" t="s">
        <v>2102</v>
      </c>
      <c r="F421" s="295"/>
      <c r="G421" s="1940">
        <f>+$I$5</f>
        <v>0.13614999999999999</v>
      </c>
      <c r="I421" s="149">
        <f>(I420+I419)*G421</f>
        <v>107.218125</v>
      </c>
    </row>
    <row r="422" spans="1:11" ht="13.5" thickBot="1" x14ac:dyDescent="0.25">
      <c r="E422" s="536" t="s">
        <v>1088</v>
      </c>
      <c r="F422" s="295"/>
      <c r="I422" s="295"/>
    </row>
    <row r="423" spans="1:11" ht="13.5" thickBot="1" x14ac:dyDescent="0.25">
      <c r="A423" s="933"/>
      <c r="H423" s="129" t="s">
        <v>23</v>
      </c>
      <c r="I423" s="939">
        <f>ROUND(SUM(I418:I422),1)</f>
        <v>9199.4</v>
      </c>
    </row>
    <row r="424" spans="1:11" x14ac:dyDescent="0.2">
      <c r="K424" s="941"/>
    </row>
    <row r="425" spans="1:11" ht="36.75" customHeight="1" x14ac:dyDescent="0.2">
      <c r="B425" s="958">
        <f>COUNT($B$29:B424)+1</f>
        <v>36</v>
      </c>
      <c r="C425" s="2062" t="s">
        <v>1218</v>
      </c>
      <c r="D425" s="2062"/>
      <c r="E425" s="2062"/>
      <c r="F425" s="2062"/>
      <c r="G425" s="2062"/>
      <c r="H425" s="2062"/>
      <c r="I425" s="2062"/>
      <c r="J425" s="2062"/>
      <c r="K425" s="2062"/>
    </row>
    <row r="426" spans="1:11" x14ac:dyDescent="0.2">
      <c r="C426" s="295">
        <v>1</v>
      </c>
      <c r="D426" s="129" t="s">
        <v>20</v>
      </c>
      <c r="E426" s="129" t="s">
        <v>1084</v>
      </c>
      <c r="F426" s="295">
        <f>I389</f>
        <v>8304.7000000000007</v>
      </c>
      <c r="G426" s="129">
        <v>1</v>
      </c>
      <c r="H426" s="129" t="s">
        <v>1087</v>
      </c>
      <c r="I426" s="295">
        <f>+F426*C426</f>
        <v>8304.7000000000007</v>
      </c>
    </row>
    <row r="427" spans="1:11" x14ac:dyDescent="0.2">
      <c r="C427" s="295">
        <v>1</v>
      </c>
      <c r="D427" s="129" t="s">
        <v>20</v>
      </c>
      <c r="E427" s="129" t="s">
        <v>1086</v>
      </c>
      <c r="F427" s="295">
        <f>SSR!E6</f>
        <v>750</v>
      </c>
      <c r="G427" s="129">
        <v>1</v>
      </c>
      <c r="H427" s="129" t="s">
        <v>20</v>
      </c>
      <c r="I427" s="295">
        <f>+F427*C427</f>
        <v>750</v>
      </c>
    </row>
    <row r="428" spans="1:11" x14ac:dyDescent="0.2">
      <c r="C428" s="295"/>
      <c r="E428" s="129" t="str">
        <f>+IF($I$4=0%,"---","Municipal allowance")</f>
        <v>Municipal allowance</v>
      </c>
      <c r="F428" s="928">
        <f>$I$4</f>
        <v>0.2</v>
      </c>
      <c r="I428" s="295">
        <f>I427*0.25*F428</f>
        <v>37.5</v>
      </c>
    </row>
    <row r="429" spans="1:11" x14ac:dyDescent="0.2">
      <c r="C429" s="295"/>
      <c r="E429" s="129" t="s">
        <v>2102</v>
      </c>
      <c r="F429" s="295"/>
      <c r="G429" s="1940">
        <f>+$I$5</f>
        <v>0.13614999999999999</v>
      </c>
      <c r="I429" s="149">
        <f>(I427+I428)*G429</f>
        <v>107.218125</v>
      </c>
    </row>
    <row r="430" spans="1:11" ht="13.5" thickBot="1" x14ac:dyDescent="0.25">
      <c r="F430" s="295"/>
      <c r="I430" s="295"/>
    </row>
    <row r="431" spans="1:11" ht="13.5" thickBot="1" x14ac:dyDescent="0.25">
      <c r="A431" s="933"/>
      <c r="H431" s="129" t="s">
        <v>23</v>
      </c>
      <c r="I431" s="939">
        <f>ROUND(SUM(I426:I430),1)</f>
        <v>9199.4</v>
      </c>
    </row>
    <row r="432" spans="1:11" x14ac:dyDescent="0.2">
      <c r="K432" s="941"/>
    </row>
    <row r="433" spans="1:12" ht="32.25" customHeight="1" x14ac:dyDescent="0.2">
      <c r="B433" s="1025">
        <v>37</v>
      </c>
      <c r="C433" s="2062" t="s">
        <v>1219</v>
      </c>
      <c r="D433" s="2062"/>
      <c r="E433" s="2062"/>
      <c r="F433" s="2062"/>
      <c r="G433" s="2062"/>
      <c r="H433" s="2062"/>
      <c r="I433" s="2062"/>
      <c r="J433" s="2062"/>
      <c r="K433" s="2062"/>
    </row>
    <row r="434" spans="1:12" x14ac:dyDescent="0.2">
      <c r="C434" s="1026" t="s">
        <v>1220</v>
      </c>
      <c r="D434" s="1027">
        <f>RAM!E15*1000</f>
        <v>200</v>
      </c>
      <c r="E434" s="139" t="s">
        <v>1083</v>
      </c>
      <c r="K434" s="1937" t="s">
        <v>2101</v>
      </c>
      <c r="L434" s="1938"/>
    </row>
    <row r="435" spans="1:12" x14ac:dyDescent="0.2">
      <c r="C435" s="295">
        <v>1</v>
      </c>
      <c r="D435" s="129" t="s">
        <v>20</v>
      </c>
      <c r="E435" s="129" t="s">
        <v>1221</v>
      </c>
      <c r="F435" s="970">
        <f>$I$402</f>
        <v>8709.2999999999993</v>
      </c>
      <c r="G435" s="129">
        <v>1</v>
      </c>
      <c r="H435" s="129" t="s">
        <v>20</v>
      </c>
      <c r="I435" s="295">
        <f>+F435*C435</f>
        <v>8709.2999999999993</v>
      </c>
    </row>
    <row r="436" spans="1:12" x14ac:dyDescent="0.2">
      <c r="C436" s="295">
        <f>1000/D434*1</f>
        <v>5</v>
      </c>
      <c r="D436" s="129" t="s">
        <v>1087</v>
      </c>
      <c r="E436" s="129" t="s">
        <v>1086</v>
      </c>
      <c r="F436" s="960">
        <f>SSR!$E$35</f>
        <v>1115</v>
      </c>
      <c r="G436" s="129">
        <v>1</v>
      </c>
      <c r="H436" s="129" t="s">
        <v>1087</v>
      </c>
      <c r="I436" s="295">
        <f>+F436*C436</f>
        <v>5575</v>
      </c>
    </row>
    <row r="437" spans="1:12" x14ac:dyDescent="0.2">
      <c r="C437" s="295"/>
      <c r="E437" s="129" t="str">
        <f>+IF($I$4=0%,"---","Municipal allowance")</f>
        <v>Municipal allowance</v>
      </c>
      <c r="F437" s="928">
        <f>$I$4</f>
        <v>0.2</v>
      </c>
      <c r="I437" s="295">
        <f>I436*0.25*F437</f>
        <v>278.75</v>
      </c>
    </row>
    <row r="438" spans="1:12" ht="13.5" thickBot="1" x14ac:dyDescent="0.25">
      <c r="C438" s="295"/>
      <c r="E438" s="129" t="s">
        <v>2102</v>
      </c>
      <c r="F438" s="295"/>
      <c r="G438" s="1940">
        <f>+$I$5</f>
        <v>0.13614999999999999</v>
      </c>
      <c r="I438" s="149">
        <f>(I436+I437)*G438</f>
        <v>796.98806249999996</v>
      </c>
    </row>
    <row r="439" spans="1:12" ht="13.5" thickBot="1" x14ac:dyDescent="0.25">
      <c r="A439" s="933"/>
      <c r="H439" s="129" t="s">
        <v>23</v>
      </c>
      <c r="I439" s="939">
        <f>ROUND(SUM(I435:I438),1)</f>
        <v>15360</v>
      </c>
    </row>
    <row r="440" spans="1:12" x14ac:dyDescent="0.2">
      <c r="K440" s="941"/>
    </row>
    <row r="441" spans="1:12" x14ac:dyDescent="0.2">
      <c r="D441" s="1028">
        <v>300</v>
      </c>
      <c r="E441" s="139" t="s">
        <v>1083</v>
      </c>
      <c r="K441" s="295"/>
    </row>
    <row r="442" spans="1:12" x14ac:dyDescent="0.2">
      <c r="C442" s="295">
        <v>1</v>
      </c>
      <c r="D442" s="129" t="s">
        <v>20</v>
      </c>
      <c r="E442" s="129" t="s">
        <v>1221</v>
      </c>
      <c r="F442" s="970">
        <f>F435</f>
        <v>8709.2999999999993</v>
      </c>
      <c r="G442" s="129">
        <v>1</v>
      </c>
      <c r="H442" s="129" t="s">
        <v>20</v>
      </c>
      <c r="I442" s="295">
        <f>+F442*C442</f>
        <v>8709.2999999999993</v>
      </c>
    </row>
    <row r="443" spans="1:12" x14ac:dyDescent="0.2">
      <c r="C443" s="295">
        <f>1000/D441*1</f>
        <v>3.3333333333333335</v>
      </c>
      <c r="D443" s="129" t="s">
        <v>1087</v>
      </c>
      <c r="E443" s="129" t="s">
        <v>1086</v>
      </c>
      <c r="F443" s="960">
        <f>SSR!$E$35</f>
        <v>1115</v>
      </c>
      <c r="G443" s="129">
        <v>1</v>
      </c>
      <c r="H443" s="129" t="s">
        <v>1087</v>
      </c>
      <c r="I443" s="295">
        <f>+F443*C443</f>
        <v>3716.666666666667</v>
      </c>
    </row>
    <row r="444" spans="1:12" x14ac:dyDescent="0.2">
      <c r="C444" s="295"/>
      <c r="E444" s="129" t="str">
        <f>+IF($I$4=0%,"---","Municipal allowance")</f>
        <v>Municipal allowance</v>
      </c>
      <c r="F444" s="928">
        <f>$I$4</f>
        <v>0.2</v>
      </c>
      <c r="I444" s="295">
        <f>I443*0.25*F444</f>
        <v>185.83333333333337</v>
      </c>
    </row>
    <row r="445" spans="1:12" x14ac:dyDescent="0.2">
      <c r="C445" s="295"/>
      <c r="E445" s="129" t="s">
        <v>2102</v>
      </c>
      <c r="F445" s="295"/>
      <c r="G445" s="1940">
        <f>+$I$5</f>
        <v>0.13614999999999999</v>
      </c>
      <c r="I445" s="149">
        <f>(I443+I444)*G445</f>
        <v>531.32537500000001</v>
      </c>
    </row>
    <row r="446" spans="1:12" ht="13.5" thickBot="1" x14ac:dyDescent="0.25">
      <c r="C446" s="295"/>
      <c r="F446" s="295"/>
      <c r="I446" s="295"/>
    </row>
    <row r="447" spans="1:12" ht="13.5" thickBot="1" x14ac:dyDescent="0.25">
      <c r="H447" s="129" t="s">
        <v>23</v>
      </c>
      <c r="I447" s="939">
        <f>ROUND(SUM(I442:I446),1)</f>
        <v>13143.1</v>
      </c>
    </row>
    <row r="448" spans="1:12" x14ac:dyDescent="0.2">
      <c r="I448" s="941"/>
    </row>
    <row r="449" spans="1:9" x14ac:dyDescent="0.2">
      <c r="D449" s="1028">
        <v>250</v>
      </c>
      <c r="E449" s="139" t="s">
        <v>1083</v>
      </c>
      <c r="I449" s="295"/>
    </row>
    <row r="450" spans="1:9" x14ac:dyDescent="0.2">
      <c r="C450" s="295">
        <v>1</v>
      </c>
      <c r="D450" s="129" t="s">
        <v>20</v>
      </c>
      <c r="E450" s="129" t="s">
        <v>1221</v>
      </c>
      <c r="F450" s="970">
        <f>F442</f>
        <v>8709.2999999999993</v>
      </c>
      <c r="G450" s="129">
        <v>1</v>
      </c>
      <c r="H450" s="129" t="s">
        <v>20</v>
      </c>
      <c r="I450" s="295">
        <f>+F450*C450</f>
        <v>8709.2999999999993</v>
      </c>
    </row>
    <row r="451" spans="1:9" x14ac:dyDescent="0.2">
      <c r="C451" s="295">
        <f>1000/D449*1</f>
        <v>4</v>
      </c>
      <c r="D451" s="129" t="s">
        <v>1087</v>
      </c>
      <c r="E451" s="129" t="s">
        <v>1086</v>
      </c>
      <c r="F451" s="960">
        <f>SSR!$E$35</f>
        <v>1115</v>
      </c>
      <c r="G451" s="129">
        <v>1</v>
      </c>
      <c r="H451" s="129" t="s">
        <v>1087</v>
      </c>
      <c r="I451" s="295">
        <f>+F451*C451</f>
        <v>4460</v>
      </c>
    </row>
    <row r="452" spans="1:9" x14ac:dyDescent="0.2">
      <c r="C452" s="295"/>
      <c r="E452" s="129" t="str">
        <f>+IF($I$4=0%,"---","Municipal allowance")</f>
        <v>Municipal allowance</v>
      </c>
      <c r="F452" s="928">
        <f>$I$4</f>
        <v>0.2</v>
      </c>
      <c r="I452" s="295">
        <f>I451*0.25*F452</f>
        <v>223</v>
      </c>
    </row>
    <row r="453" spans="1:9" ht="13.5" thickBot="1" x14ac:dyDescent="0.25">
      <c r="C453" s="295"/>
      <c r="E453" s="129" t="s">
        <v>2102</v>
      </c>
      <c r="F453" s="295"/>
      <c r="G453" s="1940">
        <f>+$I$5</f>
        <v>0.13614999999999999</v>
      </c>
      <c r="I453" s="149">
        <f>(I451+I452)*G453</f>
        <v>637.59044999999992</v>
      </c>
    </row>
    <row r="454" spans="1:9" ht="13.5" thickBot="1" x14ac:dyDescent="0.25">
      <c r="H454" s="129" t="s">
        <v>23</v>
      </c>
      <c r="I454" s="939">
        <f>ROUND(SUM(I450:I453),1)</f>
        <v>14029.9</v>
      </c>
    </row>
    <row r="455" spans="1:9" x14ac:dyDescent="0.2">
      <c r="I455" s="941"/>
    </row>
    <row r="456" spans="1:9" ht="31.5" customHeight="1" x14ac:dyDescent="0.2">
      <c r="B456" s="324">
        <v>38</v>
      </c>
      <c r="C456" s="2062" t="s">
        <v>1219</v>
      </c>
      <c r="D456" s="2062"/>
      <c r="E456" s="2062"/>
      <c r="F456" s="2062"/>
      <c r="G456" s="2062"/>
      <c r="H456" s="2062"/>
      <c r="I456" s="2062"/>
    </row>
    <row r="457" spans="1:9" x14ac:dyDescent="0.2">
      <c r="C457" s="1026" t="s">
        <v>1222</v>
      </c>
      <c r="D457" s="1027">
        <f>RAM!E23*1000</f>
        <v>100</v>
      </c>
      <c r="E457" s="139" t="s">
        <v>1083</v>
      </c>
    </row>
    <row r="458" spans="1:9" x14ac:dyDescent="0.2">
      <c r="C458" s="295">
        <v>1</v>
      </c>
      <c r="D458" s="129" t="s">
        <v>20</v>
      </c>
      <c r="E458" s="129" t="s">
        <v>1221</v>
      </c>
      <c r="F458" s="970">
        <f>F450</f>
        <v>8709.2999999999993</v>
      </c>
      <c r="G458" s="129">
        <v>1</v>
      </c>
      <c r="H458" s="129" t="s">
        <v>20</v>
      </c>
      <c r="I458" s="295">
        <f>+F458*C458</f>
        <v>8709.2999999999993</v>
      </c>
    </row>
    <row r="459" spans="1:9" x14ac:dyDescent="0.2">
      <c r="C459" s="295">
        <f>1000/D457*1</f>
        <v>10</v>
      </c>
      <c r="D459" s="129" t="s">
        <v>1087</v>
      </c>
      <c r="E459" s="129" t="s">
        <v>1086</v>
      </c>
      <c r="F459" s="960">
        <f>SSR!$E$35</f>
        <v>1115</v>
      </c>
      <c r="G459" s="129">
        <v>1</v>
      </c>
      <c r="H459" s="129" t="s">
        <v>1087</v>
      </c>
      <c r="I459" s="295">
        <f>+F459*C459</f>
        <v>11150</v>
      </c>
    </row>
    <row r="460" spans="1:9" x14ac:dyDescent="0.2">
      <c r="C460" s="295"/>
      <c r="E460" s="129" t="str">
        <f>+IF($I$4=0%,"---","Municipal allowance")</f>
        <v>Municipal allowance</v>
      </c>
      <c r="F460" s="928">
        <f>$I$4</f>
        <v>0.2</v>
      </c>
      <c r="I460" s="295">
        <f>I459*0.25*F460</f>
        <v>557.5</v>
      </c>
    </row>
    <row r="461" spans="1:9" ht="13.5" thickBot="1" x14ac:dyDescent="0.25">
      <c r="C461" s="295"/>
      <c r="E461" s="129" t="s">
        <v>2102</v>
      </c>
      <c r="F461" s="295"/>
      <c r="G461" s="1940">
        <f>+$I$5</f>
        <v>0.13614999999999999</v>
      </c>
      <c r="I461" s="149">
        <f>(I459+I460)*G461</f>
        <v>1593.9761249999999</v>
      </c>
    </row>
    <row r="462" spans="1:9" ht="13.5" thickBot="1" x14ac:dyDescent="0.25">
      <c r="A462" s="933"/>
      <c r="H462" s="515" t="s">
        <v>23</v>
      </c>
      <c r="I462" s="939">
        <f>ROUND(SUM(I458:I461),1)</f>
        <v>22010.799999999999</v>
      </c>
    </row>
    <row r="463" spans="1:9" x14ac:dyDescent="0.2">
      <c r="A463" s="933"/>
      <c r="H463" s="515"/>
      <c r="I463" s="941"/>
    </row>
    <row r="464" spans="1:9" ht="44.25" customHeight="1" x14ac:dyDescent="0.2">
      <c r="B464" s="324">
        <v>39</v>
      </c>
      <c r="C464" s="2054" t="s">
        <v>1223</v>
      </c>
      <c r="D464" s="2054"/>
      <c r="E464" s="2054"/>
      <c r="F464" s="2054"/>
      <c r="G464" s="2054"/>
      <c r="H464" s="2054"/>
      <c r="I464" s="1000"/>
    </row>
    <row r="465" spans="1:9" x14ac:dyDescent="0.2">
      <c r="D465" s="1029">
        <f>RAM!E24*1000</f>
        <v>150</v>
      </c>
      <c r="E465" s="129" t="s">
        <v>1083</v>
      </c>
      <c r="I465" s="1030" t="s">
        <v>1222</v>
      </c>
    </row>
    <row r="466" spans="1:9" x14ac:dyDescent="0.2">
      <c r="C466" s="295">
        <f>+(D465/1000)*10</f>
        <v>1.5</v>
      </c>
      <c r="D466" s="129" t="s">
        <v>20</v>
      </c>
      <c r="E466" s="129" t="s">
        <v>1221</v>
      </c>
      <c r="F466" s="970">
        <f>$I$414</f>
        <v>6885.5</v>
      </c>
      <c r="G466" s="129">
        <v>1</v>
      </c>
      <c r="H466" s="129" t="s">
        <v>20</v>
      </c>
      <c r="I466" s="295">
        <f>+F466*C466</f>
        <v>10328.25</v>
      </c>
    </row>
    <row r="467" spans="1:9" x14ac:dyDescent="0.2">
      <c r="C467" s="295">
        <f>1000/D465</f>
        <v>6.666666666666667</v>
      </c>
      <c r="D467" s="129" t="s">
        <v>1087</v>
      </c>
      <c r="E467" s="129" t="s">
        <v>1086</v>
      </c>
      <c r="F467" s="960">
        <f>+IF(D465&lt;=150,SSR!$E$4,SSR!$E$5)</f>
        <v>389</v>
      </c>
      <c r="G467" s="129">
        <v>1</v>
      </c>
      <c r="H467" s="129" t="s">
        <v>1087</v>
      </c>
      <c r="I467" s="295">
        <f>+F467*C467/G467</f>
        <v>2593.3333333333335</v>
      </c>
    </row>
    <row r="468" spans="1:9" x14ac:dyDescent="0.2">
      <c r="C468" s="1031"/>
      <c r="D468" s="930"/>
      <c r="E468" s="129" t="str">
        <f>+IF($I$4=0%,"---","Municipal allowance")</f>
        <v>Municipal allowance</v>
      </c>
      <c r="F468" s="928">
        <f>$I$4</f>
        <v>0.2</v>
      </c>
      <c r="G468" s="1032"/>
      <c r="H468" s="1033"/>
      <c r="I468" s="932">
        <f>(I467)*0.25*F468</f>
        <v>129.66666666666669</v>
      </c>
    </row>
    <row r="469" spans="1:9" ht="13.5" thickBot="1" x14ac:dyDescent="0.25">
      <c r="C469" s="295"/>
      <c r="E469" s="129" t="s">
        <v>2102</v>
      </c>
      <c r="F469" s="295"/>
      <c r="G469" s="1940">
        <f>+$I$5</f>
        <v>0.13614999999999999</v>
      </c>
      <c r="I469" s="149">
        <f>SUM(I467:I468)*G469</f>
        <v>370.73644999999999</v>
      </c>
    </row>
    <row r="470" spans="1:9" ht="13.5" thickBot="1" x14ac:dyDescent="0.25">
      <c r="A470" s="933"/>
      <c r="C470" s="295"/>
      <c r="F470" s="295"/>
      <c r="H470" s="417" t="s">
        <v>1089</v>
      </c>
      <c r="I470" s="939">
        <f>ROUND(SUM(I466:I469),1)</f>
        <v>13422</v>
      </c>
    </row>
    <row r="471" spans="1:9" x14ac:dyDescent="0.2">
      <c r="A471" s="933"/>
      <c r="C471" s="295"/>
      <c r="F471" s="295"/>
      <c r="H471" s="1034"/>
      <c r="I471" s="941"/>
    </row>
    <row r="472" spans="1:9" x14ac:dyDescent="0.2">
      <c r="D472" s="1029">
        <v>125</v>
      </c>
      <c r="E472" s="129" t="s">
        <v>1083</v>
      </c>
      <c r="I472" s="1030" t="s">
        <v>1222</v>
      </c>
    </row>
    <row r="473" spans="1:9" x14ac:dyDescent="0.2">
      <c r="C473" s="295">
        <f>+(D472/1000)*10</f>
        <v>1.25</v>
      </c>
      <c r="D473" s="129" t="s">
        <v>20</v>
      </c>
      <c r="E473" s="129" t="s">
        <v>1221</v>
      </c>
      <c r="F473" s="970">
        <f>$I$414</f>
        <v>6885.5</v>
      </c>
      <c r="G473" s="129">
        <v>1</v>
      </c>
      <c r="H473" s="129" t="s">
        <v>20</v>
      </c>
      <c r="I473" s="295">
        <f>+F473*C473</f>
        <v>8606.875</v>
      </c>
    </row>
    <row r="474" spans="1:9" x14ac:dyDescent="0.2">
      <c r="C474" s="295">
        <f>1000/D472</f>
        <v>8</v>
      </c>
      <c r="D474" s="129" t="s">
        <v>1087</v>
      </c>
      <c r="E474" s="129" t="s">
        <v>1086</v>
      </c>
      <c r="F474" s="960">
        <f>+IF(D472&lt;=150,SSR!$E$4,SSR!$E$5)</f>
        <v>389</v>
      </c>
      <c r="G474" s="129">
        <v>1</v>
      </c>
      <c r="H474" s="129" t="s">
        <v>1087</v>
      </c>
      <c r="I474" s="295">
        <f>+F474*C474/G474</f>
        <v>3112</v>
      </c>
    </row>
    <row r="475" spans="1:9" x14ac:dyDescent="0.2">
      <c r="C475" s="1031"/>
      <c r="D475" s="930"/>
      <c r="E475" s="129" t="str">
        <f>+IF($I$4=0%,"---","Municipal allowance")</f>
        <v>Municipal allowance</v>
      </c>
      <c r="F475" s="928">
        <f>$I$4</f>
        <v>0.2</v>
      </c>
      <c r="G475" s="1032"/>
      <c r="H475" s="1033"/>
      <c r="I475" s="932">
        <f>(I474)*0.25*F475</f>
        <v>155.60000000000002</v>
      </c>
    </row>
    <row r="476" spans="1:9" ht="13.5" thickBot="1" x14ac:dyDescent="0.25">
      <c r="C476" s="295"/>
      <c r="E476" s="129" t="s">
        <v>2102</v>
      </c>
      <c r="F476" s="295"/>
      <c r="G476" s="1940">
        <f>+$I$5</f>
        <v>0.13614999999999999</v>
      </c>
      <c r="I476" s="149">
        <f>SUM(I474:I475)*G476</f>
        <v>444.88373999999999</v>
      </c>
    </row>
    <row r="477" spans="1:9" ht="13.5" thickBot="1" x14ac:dyDescent="0.25">
      <c r="A477" s="933"/>
      <c r="C477" s="295"/>
      <c r="F477" s="295"/>
      <c r="H477" s="417" t="s">
        <v>1089</v>
      </c>
      <c r="I477" s="939">
        <f>ROUND(SUM(I473:I476),1)</f>
        <v>12319.4</v>
      </c>
    </row>
    <row r="478" spans="1:9" x14ac:dyDescent="0.2">
      <c r="A478" s="933"/>
      <c r="C478" s="295"/>
      <c r="F478" s="295"/>
      <c r="H478" s="1034"/>
      <c r="I478" s="941"/>
    </row>
    <row r="479" spans="1:9" ht="40.9" customHeight="1" x14ac:dyDescent="0.2">
      <c r="B479" s="324">
        <v>40</v>
      </c>
      <c r="C479" s="2066" t="s">
        <v>1219</v>
      </c>
      <c r="D479" s="2066"/>
      <c r="E479" s="2066"/>
      <c r="F479" s="2066"/>
      <c r="G479" s="2066"/>
      <c r="H479" s="2066"/>
      <c r="I479" s="2066"/>
    </row>
    <row r="480" spans="1:9" x14ac:dyDescent="0.2">
      <c r="B480" s="324" t="s">
        <v>1224</v>
      </c>
      <c r="C480" s="1035" t="s">
        <v>223</v>
      </c>
      <c r="D480" s="1036">
        <f>RAM!E33*1000</f>
        <v>100</v>
      </c>
      <c r="E480" s="1037" t="s">
        <v>1083</v>
      </c>
      <c r="F480" s="930"/>
      <c r="G480" s="930"/>
      <c r="H480" s="930"/>
      <c r="I480" s="930"/>
    </row>
    <row r="481" spans="1:9" x14ac:dyDescent="0.2">
      <c r="C481" s="932">
        <v>1</v>
      </c>
      <c r="D481" s="930" t="s">
        <v>20</v>
      </c>
      <c r="E481" s="930" t="s">
        <v>1221</v>
      </c>
      <c r="F481" s="1038">
        <f>F458</f>
        <v>8709.2999999999993</v>
      </c>
      <c r="G481" s="930">
        <v>1</v>
      </c>
      <c r="H481" s="930" t="s">
        <v>20</v>
      </c>
      <c r="I481" s="932">
        <f>+F481*C481</f>
        <v>8709.2999999999993</v>
      </c>
    </row>
    <row r="482" spans="1:9" x14ac:dyDescent="0.2">
      <c r="C482" s="932">
        <f>1000/D480*1</f>
        <v>10</v>
      </c>
      <c r="D482" s="930" t="s">
        <v>1087</v>
      </c>
      <c r="E482" s="930" t="s">
        <v>1086</v>
      </c>
      <c r="F482" s="932">
        <f>SSR!$E$35</f>
        <v>1115</v>
      </c>
      <c r="G482" s="930">
        <v>1</v>
      </c>
      <c r="H482" s="930" t="s">
        <v>1087</v>
      </c>
      <c r="I482" s="932">
        <f>+F482*C482</f>
        <v>11150</v>
      </c>
    </row>
    <row r="483" spans="1:9" x14ac:dyDescent="0.2">
      <c r="C483" s="932"/>
      <c r="D483" s="930"/>
      <c r="E483" s="930" t="str">
        <f>+IF($I$4=0%,"---","Municipal allowance")</f>
        <v>Municipal allowance</v>
      </c>
      <c r="F483" s="931">
        <f>$I$4</f>
        <v>0.2</v>
      </c>
      <c r="G483" s="930"/>
      <c r="H483" s="930"/>
      <c r="I483" s="932">
        <f>I482*0.25*F483</f>
        <v>557.5</v>
      </c>
    </row>
    <row r="484" spans="1:9" ht="13.5" thickBot="1" x14ac:dyDescent="0.25">
      <c r="C484" s="932"/>
      <c r="D484" s="930"/>
      <c r="E484" s="930" t="s">
        <v>2102</v>
      </c>
      <c r="F484" s="932"/>
      <c r="G484" s="1940">
        <f>+$I$5</f>
        <v>0.13614999999999999</v>
      </c>
      <c r="H484" s="930"/>
      <c r="I484" s="940">
        <f>(I482+I483)*G484</f>
        <v>1593.9761249999999</v>
      </c>
    </row>
    <row r="485" spans="1:9" ht="13.5" thickBot="1" x14ac:dyDescent="0.25">
      <c r="A485" s="933"/>
      <c r="C485" s="930"/>
      <c r="D485" s="930"/>
      <c r="E485" s="930"/>
      <c r="F485" s="930"/>
      <c r="G485" s="930"/>
      <c r="H485" s="1039" t="s">
        <v>23</v>
      </c>
      <c r="I485" s="1040">
        <f>ROUND(SUM(I481:I484),1)</f>
        <v>22010.799999999999</v>
      </c>
    </row>
    <row r="486" spans="1:9" x14ac:dyDescent="0.2">
      <c r="A486" s="933"/>
      <c r="C486" s="930"/>
      <c r="D486" s="930"/>
      <c r="E486" s="930"/>
      <c r="F486" s="930"/>
      <c r="G486" s="930"/>
      <c r="H486" s="1039"/>
      <c r="I486" s="955"/>
    </row>
    <row r="487" spans="1:9" ht="37.5" customHeight="1" x14ac:dyDescent="0.2">
      <c r="C487" s="2062" t="s">
        <v>1225</v>
      </c>
      <c r="D487" s="2062"/>
      <c r="E487" s="2062"/>
      <c r="F487" s="2062"/>
      <c r="G487" s="2062"/>
      <c r="H487" s="2062"/>
      <c r="I487" s="2062"/>
    </row>
    <row r="488" spans="1:9" x14ac:dyDescent="0.2">
      <c r="C488" s="1041" t="s">
        <v>1226</v>
      </c>
      <c r="D488" s="1027">
        <f>RAM!E36*1000</f>
        <v>100</v>
      </c>
      <c r="E488" s="129" t="s">
        <v>1083</v>
      </c>
    </row>
    <row r="489" spans="1:9" x14ac:dyDescent="0.2">
      <c r="C489" s="295">
        <v>1</v>
      </c>
      <c r="D489" s="129" t="s">
        <v>20</v>
      </c>
      <c r="E489" s="129" t="s">
        <v>1221</v>
      </c>
      <c r="F489" s="970">
        <f>F466</f>
        <v>6885.5</v>
      </c>
      <c r="G489" s="129">
        <v>1</v>
      </c>
      <c r="H489" s="129" t="s">
        <v>20</v>
      </c>
      <c r="I489" s="295">
        <f>+F489*C489</f>
        <v>6885.5</v>
      </c>
    </row>
    <row r="490" spans="1:9" x14ac:dyDescent="0.2">
      <c r="C490" s="295">
        <v>1</v>
      </c>
      <c r="D490" s="129" t="s">
        <v>1012</v>
      </c>
      <c r="E490" s="668" t="s">
        <v>1227</v>
      </c>
      <c r="F490" s="295">
        <f>SSR!$E$19</f>
        <v>6302</v>
      </c>
      <c r="G490" s="129">
        <v>1</v>
      </c>
      <c r="H490" s="129" t="s">
        <v>1012</v>
      </c>
      <c r="I490" s="295">
        <f>+F490*C490/G490</f>
        <v>6302</v>
      </c>
    </row>
    <row r="491" spans="1:9" x14ac:dyDescent="0.2">
      <c r="C491" s="295"/>
      <c r="E491" s="129" t="str">
        <f>+IF($I$4=0%,"---","Municipal allowance")</f>
        <v>Municipal allowance</v>
      </c>
      <c r="F491" s="928">
        <f>$I$4</f>
        <v>0.2</v>
      </c>
      <c r="I491" s="295">
        <f>I490*0.25*F491</f>
        <v>315.10000000000002</v>
      </c>
    </row>
    <row r="492" spans="1:9" ht="13.5" thickBot="1" x14ac:dyDescent="0.25">
      <c r="C492" s="295"/>
      <c r="E492" s="129" t="s">
        <v>2102</v>
      </c>
      <c r="F492" s="295"/>
      <c r="G492" s="1940">
        <f>+$I$5</f>
        <v>0.13614999999999999</v>
      </c>
      <c r="I492" s="149">
        <f>(I490+I491)*G492</f>
        <v>900.91816500000004</v>
      </c>
    </row>
    <row r="493" spans="1:9" ht="13.5" thickBot="1" x14ac:dyDescent="0.25">
      <c r="A493" s="933"/>
      <c r="H493" s="129" t="s">
        <v>23</v>
      </c>
      <c r="I493" s="939">
        <f>ROUND(SUM(I489:I492),1)</f>
        <v>14403.5</v>
      </c>
    </row>
    <row r="494" spans="1:9" x14ac:dyDescent="0.2">
      <c r="A494" s="933"/>
      <c r="I494" s="941"/>
    </row>
    <row r="495" spans="1:9" ht="34.5" customHeight="1" x14ac:dyDescent="0.2">
      <c r="C495" s="2062" t="s">
        <v>1228</v>
      </c>
      <c r="D495" s="2062"/>
      <c r="E495" s="2062"/>
      <c r="F495" s="2062"/>
      <c r="G495" s="2062"/>
      <c r="H495" s="2062"/>
      <c r="I495" s="2062"/>
    </row>
    <row r="496" spans="1:9" x14ac:dyDescent="0.2">
      <c r="C496" s="1041" t="s">
        <v>595</v>
      </c>
      <c r="D496" s="1042"/>
      <c r="E496" s="1042"/>
      <c r="F496" s="1042"/>
      <c r="G496" s="1042"/>
      <c r="H496" s="1042"/>
      <c r="I496" s="1042"/>
    </row>
    <row r="497" spans="1:9" x14ac:dyDescent="0.2">
      <c r="C497" s="686">
        <v>1</v>
      </c>
      <c r="D497" s="129" t="s">
        <v>20</v>
      </c>
      <c r="E497" s="129" t="s">
        <v>1221</v>
      </c>
      <c r="F497" s="970">
        <f>F489</f>
        <v>6885.5</v>
      </c>
      <c r="G497" s="129">
        <v>1</v>
      </c>
      <c r="H497" s="129" t="s">
        <v>20</v>
      </c>
      <c r="I497" s="295">
        <f>+F497*C497</f>
        <v>6885.5</v>
      </c>
    </row>
    <row r="498" spans="1:9" x14ac:dyDescent="0.2">
      <c r="C498" s="686">
        <v>1</v>
      </c>
      <c r="D498" s="129" t="s">
        <v>20</v>
      </c>
      <c r="E498" s="129" t="s">
        <v>1086</v>
      </c>
      <c r="F498" s="960">
        <f>SSR!$E$20</f>
        <v>3428</v>
      </c>
      <c r="G498" s="129">
        <v>1</v>
      </c>
      <c r="H498" s="129" t="s">
        <v>20</v>
      </c>
      <c r="I498" s="295">
        <f>+F498*C498</f>
        <v>3428</v>
      </c>
    </row>
    <row r="499" spans="1:9" x14ac:dyDescent="0.2">
      <c r="C499" s="295"/>
      <c r="E499" s="129" t="str">
        <f>+IF($I$4=0%,"---","Municipal allowance")</f>
        <v>Municipal allowance</v>
      </c>
      <c r="F499" s="928">
        <f>$I$4</f>
        <v>0.2</v>
      </c>
      <c r="I499" s="295">
        <f>I498*0.25*F499</f>
        <v>171.4</v>
      </c>
    </row>
    <row r="500" spans="1:9" ht="13.5" thickBot="1" x14ac:dyDescent="0.25">
      <c r="C500" s="295"/>
      <c r="E500" s="129" t="s">
        <v>2102</v>
      </c>
      <c r="F500" s="295"/>
      <c r="G500" s="1940">
        <f>+$I$5</f>
        <v>0.13614999999999999</v>
      </c>
      <c r="I500" s="149">
        <f>(I498+I499)*G500</f>
        <v>490.05831000000001</v>
      </c>
    </row>
    <row r="501" spans="1:9" ht="13.5" thickBot="1" x14ac:dyDescent="0.25">
      <c r="A501" s="933"/>
      <c r="H501" s="129" t="s">
        <v>23</v>
      </c>
      <c r="I501" s="939">
        <f>ROUND(SUM(I497:I500),1)</f>
        <v>10975</v>
      </c>
    </row>
    <row r="502" spans="1:9" x14ac:dyDescent="0.2">
      <c r="A502" s="933"/>
      <c r="I502" s="941"/>
    </row>
    <row r="503" spans="1:9" ht="27" customHeight="1" x14ac:dyDescent="0.2">
      <c r="C503" s="2062" t="s">
        <v>1219</v>
      </c>
      <c r="D503" s="2062"/>
      <c r="E503" s="2062"/>
      <c r="F503" s="2062"/>
      <c r="G503" s="2062"/>
      <c r="H503" s="2062"/>
      <c r="I503" s="2062"/>
    </row>
    <row r="504" spans="1:9" x14ac:dyDescent="0.2">
      <c r="C504" s="1026" t="s">
        <v>1229</v>
      </c>
      <c r="D504" s="1027">
        <f>RAM!E40*1000</f>
        <v>100</v>
      </c>
      <c r="E504" s="139" t="s">
        <v>1083</v>
      </c>
    </row>
    <row r="505" spans="1:9" x14ac:dyDescent="0.2">
      <c r="C505" s="295">
        <v>1</v>
      </c>
      <c r="D505" s="129" t="s">
        <v>20</v>
      </c>
      <c r="E505" s="129" t="s">
        <v>1221</v>
      </c>
      <c r="F505" s="970">
        <f>F481</f>
        <v>8709.2999999999993</v>
      </c>
      <c r="G505" s="129">
        <v>1</v>
      </c>
      <c r="H505" s="129" t="s">
        <v>20</v>
      </c>
      <c r="I505" s="295">
        <f>+F505*C505</f>
        <v>8709.2999999999993</v>
      </c>
    </row>
    <row r="506" spans="1:9" x14ac:dyDescent="0.2">
      <c r="C506" s="295">
        <f>1000/D504*1</f>
        <v>10</v>
      </c>
      <c r="D506" s="129" t="s">
        <v>1087</v>
      </c>
      <c r="E506" s="129" t="s">
        <v>1086</v>
      </c>
      <c r="F506" s="960">
        <f>SSR!$E$35</f>
        <v>1115</v>
      </c>
      <c r="G506" s="129">
        <v>1</v>
      </c>
      <c r="H506" s="129" t="s">
        <v>1087</v>
      </c>
      <c r="I506" s="295">
        <f>+F506*C506</f>
        <v>11150</v>
      </c>
    </row>
    <row r="507" spans="1:9" x14ac:dyDescent="0.2">
      <c r="C507" s="295"/>
      <c r="E507" s="129" t="str">
        <f>+IF($I$4=0%,"---","Municipal allowance")</f>
        <v>Municipal allowance</v>
      </c>
      <c r="F507" s="928">
        <f>$I$4</f>
        <v>0.2</v>
      </c>
      <c r="I507" s="295">
        <f>I506*0.25*F507</f>
        <v>557.5</v>
      </c>
    </row>
    <row r="508" spans="1:9" ht="13.5" thickBot="1" x14ac:dyDescent="0.25">
      <c r="C508" s="295"/>
      <c r="E508" s="129" t="s">
        <v>2102</v>
      </c>
      <c r="F508" s="295"/>
      <c r="G508" s="1940">
        <f>+$I$5</f>
        <v>0.13614999999999999</v>
      </c>
      <c r="I508" s="149">
        <f>(I506+I507)*G508</f>
        <v>1593.9761249999999</v>
      </c>
    </row>
    <row r="509" spans="1:9" ht="13.5" thickBot="1" x14ac:dyDescent="0.25">
      <c r="A509" s="933"/>
      <c r="H509" s="129" t="s">
        <v>23</v>
      </c>
      <c r="I509" s="939">
        <f>ROUND(SUM(I505:I508),1)</f>
        <v>22010.799999999999</v>
      </c>
    </row>
    <row r="510" spans="1:9" x14ac:dyDescent="0.2">
      <c r="A510" s="933"/>
      <c r="I510" s="941"/>
    </row>
    <row r="511" spans="1:9" ht="44.25" customHeight="1" x14ac:dyDescent="0.2">
      <c r="C511" s="2054" t="s">
        <v>1230</v>
      </c>
      <c r="D511" s="2054"/>
      <c r="E511" s="2054"/>
      <c r="F511" s="2054"/>
      <c r="G511" s="2054"/>
      <c r="H511" s="2054"/>
      <c r="I511" s="1000"/>
    </row>
    <row r="512" spans="1:9" x14ac:dyDescent="0.2">
      <c r="D512" s="1029">
        <f>RAM!E41*1000</f>
        <v>150.00000000000003</v>
      </c>
      <c r="E512" s="129" t="s">
        <v>1083</v>
      </c>
      <c r="I512" s="1030" t="s">
        <v>1229</v>
      </c>
    </row>
    <row r="513" spans="1:11" x14ac:dyDescent="0.2">
      <c r="C513" s="295">
        <f>+(D512/1000)*10</f>
        <v>1.5000000000000002</v>
      </c>
      <c r="D513" s="129" t="s">
        <v>20</v>
      </c>
      <c r="E513" s="129" t="s">
        <v>1221</v>
      </c>
      <c r="F513" s="970">
        <f>F497</f>
        <v>6885.5</v>
      </c>
      <c r="G513" s="129">
        <v>1</v>
      </c>
      <c r="H513" s="129" t="s">
        <v>20</v>
      </c>
      <c r="I513" s="295">
        <f>+F513*C513</f>
        <v>10328.250000000002</v>
      </c>
    </row>
    <row r="514" spans="1:11" x14ac:dyDescent="0.2">
      <c r="C514" s="295">
        <f>1000/D512</f>
        <v>6.6666666666666652</v>
      </c>
      <c r="D514" s="129" t="s">
        <v>1087</v>
      </c>
      <c r="E514" s="129" t="s">
        <v>1086</v>
      </c>
      <c r="F514" s="960">
        <f>+IF(D512&lt;=150,SSR!$E$4,SSR!$E$5)</f>
        <v>389</v>
      </c>
      <c r="G514" s="129">
        <v>1</v>
      </c>
      <c r="H514" s="129" t="s">
        <v>1087</v>
      </c>
      <c r="I514" s="295">
        <f>+F514*C514/G514</f>
        <v>2593.3333333333326</v>
      </c>
    </row>
    <row r="515" spans="1:11" x14ac:dyDescent="0.2">
      <c r="C515" s="1031"/>
      <c r="D515" s="930"/>
      <c r="E515" s="129" t="str">
        <f>+IF($I$4=0%,"---","Municipal allowance")</f>
        <v>Municipal allowance</v>
      </c>
      <c r="F515" s="928">
        <f>$I$4</f>
        <v>0.2</v>
      </c>
      <c r="G515" s="1032"/>
      <c r="H515" s="1033"/>
      <c r="I515" s="932">
        <f>(I514)*0.25*F515</f>
        <v>129.66666666666663</v>
      </c>
    </row>
    <row r="516" spans="1:11" ht="13.5" thickBot="1" x14ac:dyDescent="0.25">
      <c r="C516" s="295"/>
      <c r="E516" s="129" t="s">
        <v>2102</v>
      </c>
      <c r="F516" s="295"/>
      <c r="G516" s="1940">
        <f>+$I$5</f>
        <v>0.13614999999999999</v>
      </c>
      <c r="I516" s="149">
        <f>SUM(I514:I515)*G516</f>
        <v>370.73644999999988</v>
      </c>
    </row>
    <row r="517" spans="1:11" ht="13.5" thickBot="1" x14ac:dyDescent="0.25">
      <c r="A517" s="933"/>
      <c r="C517" s="295"/>
      <c r="F517" s="295"/>
      <c r="H517" s="417" t="s">
        <v>1089</v>
      </c>
      <c r="I517" s="939">
        <f>ROUND(SUM(I513:I516),1)</f>
        <v>13422</v>
      </c>
      <c r="K517" s="941"/>
    </row>
    <row r="518" spans="1:11" x14ac:dyDescent="0.2">
      <c r="A518" s="933"/>
      <c r="C518" s="295"/>
      <c r="F518" s="295"/>
      <c r="H518" s="1034"/>
      <c r="I518" s="941"/>
      <c r="K518" s="941"/>
    </row>
    <row r="519" spans="1:11" x14ac:dyDescent="0.2">
      <c r="C519" s="1043" t="s">
        <v>1231</v>
      </c>
      <c r="D519" s="1028">
        <f>RAM!E111*1000</f>
        <v>150</v>
      </c>
      <c r="E519" s="139" t="s">
        <v>1232</v>
      </c>
      <c r="I519" s="1030" t="s">
        <v>209</v>
      </c>
      <c r="K519" s="295"/>
    </row>
    <row r="520" spans="1:11" x14ac:dyDescent="0.2">
      <c r="C520" s="295">
        <v>1</v>
      </c>
      <c r="D520" s="129" t="s">
        <v>20</v>
      </c>
      <c r="E520" s="129" t="s">
        <v>1221</v>
      </c>
      <c r="F520" s="970">
        <f>F505</f>
        <v>8709.2999999999993</v>
      </c>
      <c r="G520" s="129">
        <v>1</v>
      </c>
      <c r="H520" s="129" t="s">
        <v>20</v>
      </c>
      <c r="I520" s="295">
        <f>+F520*C520</f>
        <v>8709.2999999999993</v>
      </c>
    </row>
    <row r="521" spans="1:11" x14ac:dyDescent="0.2">
      <c r="C521" s="295">
        <f>1000/D519*1</f>
        <v>6.666666666666667</v>
      </c>
      <c r="D521" s="129" t="s">
        <v>1087</v>
      </c>
      <c r="E521" s="129" t="s">
        <v>1086</v>
      </c>
      <c r="F521" s="960">
        <f>SSR!$E$35</f>
        <v>1115</v>
      </c>
      <c r="G521" s="129">
        <v>1</v>
      </c>
      <c r="H521" s="129" t="s">
        <v>1087</v>
      </c>
      <c r="I521" s="295">
        <f>+F521*C521</f>
        <v>7433.3333333333339</v>
      </c>
    </row>
    <row r="522" spans="1:11" x14ac:dyDescent="0.2">
      <c r="C522" s="295"/>
      <c r="E522" s="129" t="str">
        <f>+IF($I$4=0%,"---","Municipal allowance")</f>
        <v>Municipal allowance</v>
      </c>
      <c r="F522" s="928">
        <f>$I$4</f>
        <v>0.2</v>
      </c>
      <c r="I522" s="295">
        <f>I521*0.2*F522</f>
        <v>297.33333333333343</v>
      </c>
    </row>
    <row r="523" spans="1:11" ht="13.5" thickBot="1" x14ac:dyDescent="0.25">
      <c r="C523" s="295"/>
      <c r="E523" s="129" t="s">
        <v>2102</v>
      </c>
      <c r="F523" s="295"/>
      <c r="G523" s="1940">
        <f>+$I$5</f>
        <v>0.13614999999999999</v>
      </c>
      <c r="I523" s="149">
        <f>(I521+I522)*G523</f>
        <v>1052.5302666666666</v>
      </c>
    </row>
    <row r="524" spans="1:11" ht="13.5" thickBot="1" x14ac:dyDescent="0.25">
      <c r="A524" s="933"/>
      <c r="H524" s="129" t="s">
        <v>23</v>
      </c>
      <c r="I524" s="939">
        <f>ROUND(SUM(I520:I523),1)</f>
        <v>17492.5</v>
      </c>
    </row>
    <row r="525" spans="1:11" x14ac:dyDescent="0.2">
      <c r="A525" s="933"/>
      <c r="I525" s="941"/>
    </row>
    <row r="526" spans="1:11" x14ac:dyDescent="0.2">
      <c r="D526" s="1028">
        <v>125</v>
      </c>
      <c r="I526" s="1030" t="s">
        <v>209</v>
      </c>
    </row>
    <row r="527" spans="1:11" x14ac:dyDescent="0.2">
      <c r="C527" s="295">
        <v>1</v>
      </c>
      <c r="D527" s="129" t="s">
        <v>20</v>
      </c>
      <c r="E527" s="129" t="s">
        <v>1221</v>
      </c>
      <c r="F527" s="970">
        <f>F520</f>
        <v>8709.2999999999993</v>
      </c>
      <c r="G527" s="129">
        <v>1</v>
      </c>
      <c r="H527" s="129" t="s">
        <v>20</v>
      </c>
      <c r="I527" s="295">
        <f>+F527*C527</f>
        <v>8709.2999999999993</v>
      </c>
    </row>
    <row r="528" spans="1:11" x14ac:dyDescent="0.2">
      <c r="C528" s="295">
        <f>1000/D526*1</f>
        <v>8</v>
      </c>
      <c r="D528" s="129" t="s">
        <v>1087</v>
      </c>
      <c r="E528" s="129" t="s">
        <v>1086</v>
      </c>
      <c r="F528" s="960">
        <f>SSR!$E$35</f>
        <v>1115</v>
      </c>
      <c r="G528" s="129">
        <v>1</v>
      </c>
      <c r="H528" s="129" t="s">
        <v>1087</v>
      </c>
      <c r="I528" s="295">
        <f>+F528*C528</f>
        <v>8920</v>
      </c>
    </row>
    <row r="529" spans="1:11" x14ac:dyDescent="0.2">
      <c r="C529" s="295"/>
      <c r="E529" s="1044" t="s">
        <v>1233</v>
      </c>
      <c r="F529" s="960">
        <f>SSR!E3</f>
        <v>41</v>
      </c>
      <c r="G529" s="129">
        <v>1</v>
      </c>
      <c r="H529" s="129" t="s">
        <v>20</v>
      </c>
      <c r="I529" s="295">
        <f>+F529</f>
        <v>41</v>
      </c>
    </row>
    <row r="530" spans="1:11" x14ac:dyDescent="0.2">
      <c r="C530" s="295"/>
      <c r="E530" s="129" t="str">
        <f>+IF($I$4=0%,"---","Municipal allowance")</f>
        <v>Municipal allowance</v>
      </c>
      <c r="F530" s="928">
        <f>$I$4</f>
        <v>0.2</v>
      </c>
      <c r="I530" s="295">
        <f>I528*0.2*F530</f>
        <v>356.8</v>
      </c>
    </row>
    <row r="531" spans="1:11" ht="13.5" thickBot="1" x14ac:dyDescent="0.25">
      <c r="C531" s="295"/>
      <c r="E531" s="129" t="s">
        <v>2102</v>
      </c>
      <c r="F531" s="295"/>
      <c r="G531" s="1940">
        <f>+$I$5</f>
        <v>0.13614999999999999</v>
      </c>
      <c r="I531" s="149">
        <f>(I528+I530+I529)*G531</f>
        <v>1268.6184699999999</v>
      </c>
    </row>
    <row r="532" spans="1:11" ht="13.5" thickBot="1" x14ac:dyDescent="0.25">
      <c r="A532" s="933"/>
      <c r="H532" s="129" t="s">
        <v>23</v>
      </c>
      <c r="I532" s="939">
        <f>ROUND(SUM(I527:I531),1)</f>
        <v>19295.7</v>
      </c>
    </row>
    <row r="533" spans="1:11" x14ac:dyDescent="0.2">
      <c r="A533" s="933"/>
      <c r="I533" s="941"/>
    </row>
    <row r="534" spans="1:11" x14ac:dyDescent="0.2">
      <c r="C534" s="1043" t="s">
        <v>1234</v>
      </c>
      <c r="D534" s="1028">
        <f>RAM!E114*1000</f>
        <v>100</v>
      </c>
      <c r="E534" s="139" t="s">
        <v>1083</v>
      </c>
      <c r="I534" s="1030" t="s">
        <v>209</v>
      </c>
    </row>
    <row r="535" spans="1:11" x14ac:dyDescent="0.2">
      <c r="C535" s="295">
        <v>1</v>
      </c>
      <c r="D535" s="129" t="s">
        <v>20</v>
      </c>
      <c r="E535" s="129" t="s">
        <v>1221</v>
      </c>
      <c r="F535" s="970">
        <f>F527</f>
        <v>8709.2999999999993</v>
      </c>
      <c r="G535" s="129">
        <v>1</v>
      </c>
      <c r="H535" s="129" t="s">
        <v>20</v>
      </c>
      <c r="I535" s="295">
        <f>+F535*C535</f>
        <v>8709.2999999999993</v>
      </c>
    </row>
    <row r="536" spans="1:11" x14ac:dyDescent="0.2">
      <c r="C536" s="295">
        <f>1000/D534*1</f>
        <v>10</v>
      </c>
      <c r="D536" s="129" t="s">
        <v>1087</v>
      </c>
      <c r="E536" s="129" t="s">
        <v>1086</v>
      </c>
      <c r="F536" s="960">
        <f>SSR!$E$35</f>
        <v>1115</v>
      </c>
      <c r="G536" s="129">
        <v>1</v>
      </c>
      <c r="H536" s="129" t="s">
        <v>1087</v>
      </c>
      <c r="I536" s="295">
        <f>+F536*C536</f>
        <v>11150</v>
      </c>
    </row>
    <row r="537" spans="1:11" x14ac:dyDescent="0.2">
      <c r="C537" s="295"/>
      <c r="E537" s="129" t="str">
        <f>+IF($I$4=0%,"---","Municipal allowance")</f>
        <v>Municipal allowance</v>
      </c>
      <c r="F537" s="928">
        <f>$I$4</f>
        <v>0.2</v>
      </c>
      <c r="I537" s="295">
        <f>I536*0.25*F537</f>
        <v>557.5</v>
      </c>
    </row>
    <row r="538" spans="1:11" ht="13.5" thickBot="1" x14ac:dyDescent="0.25">
      <c r="C538" s="295"/>
      <c r="E538" s="129" t="s">
        <v>2102</v>
      </c>
      <c r="F538" s="295"/>
      <c r="G538" s="1940">
        <f>+$I$5</f>
        <v>0.13614999999999999</v>
      </c>
      <c r="I538" s="149">
        <f>(I536+I537)*G538</f>
        <v>1593.9761249999999</v>
      </c>
    </row>
    <row r="539" spans="1:11" ht="13.5" thickBot="1" x14ac:dyDescent="0.25">
      <c r="A539" s="933"/>
      <c r="H539" s="129" t="s">
        <v>23</v>
      </c>
      <c r="I539" s="939">
        <f>ROUND(SUM(I535:I538),1)</f>
        <v>22010.799999999999</v>
      </c>
    </row>
    <row r="540" spans="1:11" x14ac:dyDescent="0.2">
      <c r="A540" s="933"/>
      <c r="I540" s="941"/>
    </row>
    <row r="541" spans="1:11" ht="43.5" customHeight="1" x14ac:dyDescent="0.2">
      <c r="B541" s="958">
        <f>COUNT($B$14:B539)+1</f>
        <v>42</v>
      </c>
      <c r="C541" s="2054" t="s">
        <v>1235</v>
      </c>
      <c r="D541" s="2054"/>
      <c r="E541" s="2054"/>
      <c r="F541" s="2054"/>
      <c r="G541" s="2054"/>
      <c r="H541" s="2054"/>
      <c r="I541" s="1045" t="s">
        <v>1236</v>
      </c>
      <c r="J541" s="1000"/>
      <c r="K541" s="1000"/>
    </row>
    <row r="542" spans="1:11" x14ac:dyDescent="0.2">
      <c r="D542" s="1029">
        <f>RAM!E115*1000</f>
        <v>150</v>
      </c>
      <c r="E542" s="129" t="s">
        <v>1083</v>
      </c>
      <c r="I542" s="1030" t="s">
        <v>209</v>
      </c>
      <c r="K542" s="295"/>
    </row>
    <row r="543" spans="1:11" x14ac:dyDescent="0.2">
      <c r="C543" s="295">
        <f>+(D542/1000)*10</f>
        <v>1.5</v>
      </c>
      <c r="D543" s="129" t="s">
        <v>20</v>
      </c>
      <c r="E543" s="129" t="s">
        <v>1221</v>
      </c>
      <c r="F543" s="970">
        <f>F513</f>
        <v>6885.5</v>
      </c>
      <c r="G543" s="129">
        <v>1</v>
      </c>
      <c r="H543" s="129" t="s">
        <v>20</v>
      </c>
      <c r="I543" s="295">
        <f>+F543*C543</f>
        <v>10328.25</v>
      </c>
    </row>
    <row r="544" spans="1:11" x14ac:dyDescent="0.2">
      <c r="C544" s="295">
        <f>1000/D542</f>
        <v>6.666666666666667</v>
      </c>
      <c r="D544" s="129" t="s">
        <v>1087</v>
      </c>
      <c r="E544" s="129" t="s">
        <v>1086</v>
      </c>
      <c r="F544" s="960">
        <f>+IF(D542&lt;=150,SSR!$E$4,SSR!$E$5)</f>
        <v>389</v>
      </c>
      <c r="G544" s="129">
        <v>1</v>
      </c>
      <c r="H544" s="129" t="s">
        <v>1087</v>
      </c>
      <c r="I544" s="295">
        <f>+F544*C544/G544</f>
        <v>2593.3333333333335</v>
      </c>
    </row>
    <row r="545" spans="1:11" x14ac:dyDescent="0.2">
      <c r="C545" s="295"/>
      <c r="E545" s="129" t="str">
        <f>+IF($I$4=0%,"---","Municipal allowance")</f>
        <v>Municipal allowance</v>
      </c>
      <c r="F545" s="928">
        <f>$I$4</f>
        <v>0.2</v>
      </c>
      <c r="I545" s="295">
        <f>I544*0.25*F545</f>
        <v>129.66666666666669</v>
      </c>
    </row>
    <row r="546" spans="1:11" ht="13.5" thickBot="1" x14ac:dyDescent="0.25">
      <c r="C546" s="295"/>
      <c r="E546" s="129" t="s">
        <v>2102</v>
      </c>
      <c r="F546" s="295"/>
      <c r="G546" s="1940">
        <f>+$I$5</f>
        <v>0.13614999999999999</v>
      </c>
      <c r="I546" s="149">
        <f>SUM(I544:I545)*G546</f>
        <v>370.73644999999999</v>
      </c>
    </row>
    <row r="547" spans="1:11" ht="13.5" thickBot="1" x14ac:dyDescent="0.25">
      <c r="A547" s="933"/>
      <c r="H547" s="417" t="s">
        <v>1089</v>
      </c>
      <c r="I547" s="939">
        <f>ROUND(SUM(I543:I546),1)</f>
        <v>13422</v>
      </c>
    </row>
    <row r="548" spans="1:11" x14ac:dyDescent="0.2">
      <c r="A548" s="933"/>
      <c r="H548" s="1034"/>
      <c r="I548" s="941"/>
    </row>
    <row r="549" spans="1:11" ht="37.5" customHeight="1" x14ac:dyDescent="0.2">
      <c r="A549" s="933"/>
      <c r="B549" s="958"/>
      <c r="C549" s="2062" t="s">
        <v>1237</v>
      </c>
      <c r="D549" s="2062"/>
      <c r="E549" s="2062"/>
      <c r="F549" s="2062"/>
      <c r="G549" s="2062"/>
      <c r="H549" s="2062"/>
      <c r="I549" s="2062"/>
    </row>
    <row r="550" spans="1:11" x14ac:dyDescent="0.2">
      <c r="A550" s="933"/>
      <c r="B550" s="958"/>
      <c r="C550" s="1046"/>
      <c r="D550" s="1042"/>
      <c r="E550" s="1042"/>
      <c r="F550" s="1047"/>
      <c r="G550" s="1047"/>
      <c r="H550" s="1042"/>
      <c r="I550" s="1042"/>
    </row>
    <row r="551" spans="1:11" x14ac:dyDescent="0.2">
      <c r="A551" s="933"/>
      <c r="C551" s="686">
        <v>1</v>
      </c>
      <c r="D551" s="129" t="s">
        <v>20</v>
      </c>
      <c r="E551" s="129" t="s">
        <v>1221</v>
      </c>
      <c r="F551" s="295">
        <f>$I$414</f>
        <v>6885.5</v>
      </c>
      <c r="G551" s="129">
        <v>1</v>
      </c>
      <c r="H551" s="129" t="s">
        <v>20</v>
      </c>
      <c r="I551" s="295">
        <f>+F551*C551</f>
        <v>6885.5</v>
      </c>
    </row>
    <row r="552" spans="1:11" x14ac:dyDescent="0.2">
      <c r="A552" s="933"/>
      <c r="C552" s="686">
        <v>1</v>
      </c>
      <c r="D552" s="129" t="s">
        <v>20</v>
      </c>
      <c r="E552" s="129" t="s">
        <v>1086</v>
      </c>
      <c r="F552" s="960">
        <f>SSR!E20</f>
        <v>3428</v>
      </c>
      <c r="G552" s="129">
        <v>1</v>
      </c>
      <c r="H552" s="129" t="s">
        <v>20</v>
      </c>
      <c r="I552" s="295">
        <f>+F552*C552</f>
        <v>3428</v>
      </c>
    </row>
    <row r="553" spans="1:11" x14ac:dyDescent="0.2">
      <c r="A553" s="933"/>
      <c r="C553" s="295"/>
      <c r="E553" s="129" t="str">
        <f>+IF($I$4=0%,"---","Municipal allowance")</f>
        <v>Municipal allowance</v>
      </c>
      <c r="F553" s="928">
        <f>$I$4</f>
        <v>0.2</v>
      </c>
      <c r="I553" s="295">
        <f>I552*0.25*F553</f>
        <v>171.4</v>
      </c>
    </row>
    <row r="554" spans="1:11" ht="13.5" thickBot="1" x14ac:dyDescent="0.25">
      <c r="A554" s="933"/>
      <c r="C554" s="295"/>
      <c r="E554" s="129" t="s">
        <v>2102</v>
      </c>
      <c r="F554" s="295"/>
      <c r="G554" s="1940">
        <f>+$I$5</f>
        <v>0.13614999999999999</v>
      </c>
      <c r="I554" s="149">
        <f>(I552+I553)*G554</f>
        <v>490.05831000000001</v>
      </c>
    </row>
    <row r="555" spans="1:11" ht="13.5" thickBot="1" x14ac:dyDescent="0.25">
      <c r="A555" s="933"/>
      <c r="H555" s="129" t="s">
        <v>23</v>
      </c>
      <c r="I555" s="939">
        <f>ROUND(SUM(I551:I554),1)</f>
        <v>10975</v>
      </c>
    </row>
    <row r="556" spans="1:11" x14ac:dyDescent="0.2">
      <c r="A556" s="933"/>
      <c r="H556" s="962"/>
      <c r="I556" s="941"/>
    </row>
    <row r="557" spans="1:11" ht="42.75" customHeight="1" x14ac:dyDescent="0.2">
      <c r="B557" s="958">
        <f>COUNT($B$14:B547)+1</f>
        <v>43</v>
      </c>
      <c r="C557" s="2062" t="s">
        <v>1238</v>
      </c>
      <c r="D557" s="2062"/>
      <c r="E557" s="2062"/>
      <c r="F557" s="2062"/>
      <c r="G557" s="2062"/>
      <c r="H557" s="2062"/>
      <c r="I557" s="1000"/>
      <c r="J557" s="1000"/>
      <c r="K557" s="1000"/>
    </row>
    <row r="558" spans="1:11" x14ac:dyDescent="0.2">
      <c r="D558" s="1029">
        <f>RAM!E116*1000</f>
        <v>100</v>
      </c>
      <c r="E558" s="129" t="s">
        <v>1083</v>
      </c>
      <c r="I558" s="1030" t="s">
        <v>209</v>
      </c>
      <c r="K558" s="295"/>
    </row>
    <row r="559" spans="1:11" x14ac:dyDescent="0.2">
      <c r="C559" s="295">
        <f>+(D558/1000)*10</f>
        <v>1</v>
      </c>
      <c r="D559" s="129" t="s">
        <v>20</v>
      </c>
      <c r="E559" s="129" t="s">
        <v>1221</v>
      </c>
      <c r="F559" s="970">
        <f>I139</f>
        <v>6820.2</v>
      </c>
      <c r="G559" s="129">
        <v>1</v>
      </c>
      <c r="H559" s="129" t="s">
        <v>20</v>
      </c>
      <c r="I559" s="295">
        <f>+F559*C559</f>
        <v>6820.2</v>
      </c>
    </row>
    <row r="560" spans="1:11" x14ac:dyDescent="0.2">
      <c r="C560" s="295">
        <f>1000/D558</f>
        <v>10</v>
      </c>
      <c r="D560" s="129" t="s">
        <v>1087</v>
      </c>
      <c r="E560" s="129" t="s">
        <v>1086</v>
      </c>
      <c r="F560" s="960">
        <f>+IF(D558&lt;=150,SSR!$E$4,SSR!$E$5)</f>
        <v>389</v>
      </c>
      <c r="G560" s="129">
        <v>1</v>
      </c>
      <c r="H560" s="129" t="s">
        <v>1087</v>
      </c>
      <c r="I560" s="295">
        <f>+F560*C560/G560</f>
        <v>3890</v>
      </c>
    </row>
    <row r="561" spans="1:9" x14ac:dyDescent="0.2">
      <c r="C561" s="1031">
        <v>1</v>
      </c>
      <c r="D561" s="930"/>
      <c r="E561" s="1048" t="s">
        <v>1239</v>
      </c>
      <c r="F561" s="976">
        <f>SSR!E7</f>
        <v>134</v>
      </c>
      <c r="G561" s="1032">
        <v>1</v>
      </c>
      <c r="H561" s="1033" t="s">
        <v>20</v>
      </c>
      <c r="I561" s="932">
        <f>C561*F561</f>
        <v>134</v>
      </c>
    </row>
    <row r="562" spans="1:9" x14ac:dyDescent="0.2">
      <c r="C562" s="1031"/>
      <c r="D562" s="930"/>
      <c r="E562" s="129" t="str">
        <f>+IF($I$4=0%,"---","Municipal allowance")</f>
        <v>Municipal allowance</v>
      </c>
      <c r="F562" s="928">
        <f>$I$4</f>
        <v>0.2</v>
      </c>
      <c r="G562" s="1032"/>
      <c r="H562" s="1033"/>
      <c r="I562" s="932">
        <f>(I560+I561)*0.25*F562</f>
        <v>201.20000000000002</v>
      </c>
    </row>
    <row r="563" spans="1:9" ht="13.5" thickBot="1" x14ac:dyDescent="0.25">
      <c r="C563" s="295"/>
      <c r="E563" s="129" t="s">
        <v>2102</v>
      </c>
      <c r="F563" s="295"/>
      <c r="G563" s="1940">
        <f>+$I$5</f>
        <v>0.13614999999999999</v>
      </c>
      <c r="I563" s="149">
        <f>SUM(I560:I562)*G563</f>
        <v>575.2609799999999</v>
      </c>
    </row>
    <row r="564" spans="1:9" ht="13.5" thickBot="1" x14ac:dyDescent="0.25">
      <c r="A564" s="933"/>
      <c r="C564" s="295"/>
      <c r="F564" s="295"/>
      <c r="H564" s="417" t="s">
        <v>1089</v>
      </c>
      <c r="I564" s="939">
        <f>ROUND(SUM(I559:I563),1)</f>
        <v>11620.7</v>
      </c>
    </row>
    <row r="565" spans="1:9" x14ac:dyDescent="0.2">
      <c r="C565" s="295"/>
      <c r="F565" s="295"/>
      <c r="I565" s="295"/>
    </row>
    <row r="566" spans="1:9" x14ac:dyDescent="0.2">
      <c r="C566" s="295"/>
      <c r="E566" s="1049" t="s">
        <v>1240</v>
      </c>
      <c r="F566" s="295"/>
      <c r="I566" s="295"/>
    </row>
    <row r="567" spans="1:9" x14ac:dyDescent="0.2">
      <c r="C567" s="1043" t="s">
        <v>1241</v>
      </c>
      <c r="D567" s="1028">
        <f>RAM!F111*1000</f>
        <v>200</v>
      </c>
      <c r="E567" s="139" t="s">
        <v>1083</v>
      </c>
      <c r="I567" s="1030" t="s">
        <v>206</v>
      </c>
    </row>
    <row r="568" spans="1:9" x14ac:dyDescent="0.2">
      <c r="C568" s="295">
        <v>1</v>
      </c>
      <c r="D568" s="129" t="s">
        <v>20</v>
      </c>
      <c r="E568" s="129" t="s">
        <v>1221</v>
      </c>
      <c r="F568" s="970">
        <f>F535</f>
        <v>8709.2999999999993</v>
      </c>
      <c r="G568" s="129">
        <v>1</v>
      </c>
      <c r="H568" s="129" t="s">
        <v>20</v>
      </c>
      <c r="I568" s="295">
        <f>+F568*C568</f>
        <v>8709.2999999999993</v>
      </c>
    </row>
    <row r="569" spans="1:9" x14ac:dyDescent="0.2">
      <c r="C569" s="295">
        <f>1000/D567*1</f>
        <v>5</v>
      </c>
      <c r="D569" s="129" t="s">
        <v>1087</v>
      </c>
      <c r="E569" s="129" t="s">
        <v>1086</v>
      </c>
      <c r="F569" s="960">
        <f>SSR!$E$35</f>
        <v>1115</v>
      </c>
      <c r="G569" s="129">
        <v>1</v>
      </c>
      <c r="H569" s="129" t="s">
        <v>1087</v>
      </c>
      <c r="I569" s="295">
        <f>+F569*C569</f>
        <v>5575</v>
      </c>
    </row>
    <row r="570" spans="1:9" x14ac:dyDescent="0.2">
      <c r="C570" s="295"/>
      <c r="E570" s="129" t="str">
        <f>+IF($I$4=0%,"---","Municipal allowance")</f>
        <v>Municipal allowance</v>
      </c>
      <c r="F570" s="928">
        <f>$I$4</f>
        <v>0.2</v>
      </c>
      <c r="I570" s="295">
        <f>I569*0.2*F570</f>
        <v>223</v>
      </c>
    </row>
    <row r="571" spans="1:9" ht="13.5" thickBot="1" x14ac:dyDescent="0.25">
      <c r="C571" s="295"/>
      <c r="E571" s="129" t="s">
        <v>2102</v>
      </c>
      <c r="F571" s="295"/>
      <c r="G571" s="1940">
        <f>+$I$5</f>
        <v>0.13614999999999999</v>
      </c>
      <c r="I571" s="149">
        <f>(I569+I570)*G571</f>
        <v>789.39769999999999</v>
      </c>
    </row>
    <row r="572" spans="1:9" ht="13.5" thickBot="1" x14ac:dyDescent="0.25">
      <c r="A572" s="933"/>
      <c r="C572" s="295"/>
      <c r="F572" s="295"/>
      <c r="H572" s="129" t="s">
        <v>23</v>
      </c>
      <c r="I572" s="939">
        <f>ROUND(SUM(I568:I571),1)</f>
        <v>15296.7</v>
      </c>
    </row>
    <row r="573" spans="1:9" x14ac:dyDescent="0.2">
      <c r="A573" s="933"/>
      <c r="C573" s="295"/>
      <c r="F573" s="295"/>
      <c r="I573" s="941"/>
    </row>
    <row r="574" spans="1:9" x14ac:dyDescent="0.2">
      <c r="C574" s="295"/>
      <c r="D574" s="1028">
        <v>125</v>
      </c>
      <c r="E574" s="139" t="s">
        <v>1083</v>
      </c>
      <c r="F574" s="295"/>
      <c r="I574" s="1030" t="s">
        <v>206</v>
      </c>
    </row>
    <row r="575" spans="1:9" x14ac:dyDescent="0.2">
      <c r="C575" s="295">
        <v>1</v>
      </c>
      <c r="D575" s="129" t="s">
        <v>20</v>
      </c>
      <c r="E575" s="129" t="s">
        <v>1221</v>
      </c>
      <c r="F575" s="970">
        <f>F568</f>
        <v>8709.2999999999993</v>
      </c>
      <c r="G575" s="129">
        <v>1</v>
      </c>
      <c r="H575" s="129" t="s">
        <v>20</v>
      </c>
      <c r="I575" s="295">
        <f>+F575*C575</f>
        <v>8709.2999999999993</v>
      </c>
    </row>
    <row r="576" spans="1:9" x14ac:dyDescent="0.2">
      <c r="C576" s="295">
        <f>1000/D574*1</f>
        <v>8</v>
      </c>
      <c r="D576" s="129" t="s">
        <v>1087</v>
      </c>
      <c r="E576" s="129" t="s">
        <v>1086</v>
      </c>
      <c r="F576" s="960">
        <f>SSR!$E$35</f>
        <v>1115</v>
      </c>
      <c r="G576" s="129">
        <v>1</v>
      </c>
      <c r="H576" s="129" t="s">
        <v>1087</v>
      </c>
      <c r="I576" s="295">
        <f>+F576*C576</f>
        <v>8920</v>
      </c>
    </row>
    <row r="577" spans="1:9" x14ac:dyDescent="0.2">
      <c r="C577" s="295"/>
      <c r="E577" s="1044" t="s">
        <v>1242</v>
      </c>
      <c r="F577" s="960">
        <f>SSR!E7</f>
        <v>134</v>
      </c>
      <c r="G577" s="129">
        <v>1</v>
      </c>
      <c r="H577" s="129" t="s">
        <v>20</v>
      </c>
      <c r="I577" s="295">
        <f>+F577</f>
        <v>134</v>
      </c>
    </row>
    <row r="578" spans="1:9" x14ac:dyDescent="0.2">
      <c r="C578" s="295"/>
      <c r="E578" s="129" t="str">
        <f>+IF($I$4=0%,"---","Municipal allowance")</f>
        <v>Municipal allowance</v>
      </c>
      <c r="F578" s="928">
        <f>$I$4</f>
        <v>0.2</v>
      </c>
      <c r="I578" s="295">
        <f>I576*0.2*F578</f>
        <v>356.8</v>
      </c>
    </row>
    <row r="579" spans="1:9" ht="13.5" thickBot="1" x14ac:dyDescent="0.25">
      <c r="C579" s="295"/>
      <c r="E579" s="129" t="s">
        <v>2102</v>
      </c>
      <c r="F579" s="295"/>
      <c r="G579" s="1940">
        <f>+$I$5</f>
        <v>0.13614999999999999</v>
      </c>
      <c r="I579" s="149">
        <f>(I576+I578+I577)*G579</f>
        <v>1281.2804199999998</v>
      </c>
    </row>
    <row r="580" spans="1:9" ht="13.5" thickBot="1" x14ac:dyDescent="0.25">
      <c r="A580" s="933"/>
      <c r="H580" s="129" t="s">
        <v>23</v>
      </c>
      <c r="I580" s="939">
        <f>ROUND(SUM(I575:I579),1)</f>
        <v>19401.400000000001</v>
      </c>
    </row>
    <row r="581" spans="1:9" x14ac:dyDescent="0.2">
      <c r="A581" s="933"/>
      <c r="I581" s="941"/>
    </row>
    <row r="582" spans="1:9" x14ac:dyDescent="0.2">
      <c r="C582" s="1043" t="s">
        <v>1234</v>
      </c>
      <c r="D582" s="1028">
        <f>RAM!F114*1000</f>
        <v>100</v>
      </c>
      <c r="E582" s="139" t="s">
        <v>1083</v>
      </c>
      <c r="I582" s="1030" t="s">
        <v>206</v>
      </c>
    </row>
    <row r="583" spans="1:9" x14ac:dyDescent="0.2">
      <c r="C583" s="295">
        <v>1</v>
      </c>
      <c r="D583" s="129" t="s">
        <v>20</v>
      </c>
      <c r="E583" s="129" t="s">
        <v>1221</v>
      </c>
      <c r="F583" s="970">
        <f>F575</f>
        <v>8709.2999999999993</v>
      </c>
      <c r="G583" s="129">
        <v>1</v>
      </c>
      <c r="H583" s="129" t="s">
        <v>20</v>
      </c>
      <c r="I583" s="295">
        <f>+F583*C583</f>
        <v>8709.2999999999993</v>
      </c>
    </row>
    <row r="584" spans="1:9" x14ac:dyDescent="0.2">
      <c r="C584" s="295">
        <f>1000/D582*1</f>
        <v>10</v>
      </c>
      <c r="D584" s="129" t="s">
        <v>1087</v>
      </c>
      <c r="E584" s="129" t="s">
        <v>1086</v>
      </c>
      <c r="F584" s="960">
        <f>SSR!$E$35</f>
        <v>1115</v>
      </c>
      <c r="G584" s="129">
        <v>1</v>
      </c>
      <c r="H584" s="129" t="s">
        <v>1087</v>
      </c>
      <c r="I584" s="295">
        <f>+F584*C584</f>
        <v>11150</v>
      </c>
    </row>
    <row r="585" spans="1:9" x14ac:dyDescent="0.2">
      <c r="C585" s="295"/>
      <c r="E585" s="129" t="str">
        <f>+IF($I$4=0%,"---","Municipal allowance")</f>
        <v>Municipal allowance</v>
      </c>
      <c r="F585" s="928">
        <f>$I$4</f>
        <v>0.2</v>
      </c>
      <c r="I585" s="295">
        <f>I584*0.25*F585</f>
        <v>557.5</v>
      </c>
    </row>
    <row r="586" spans="1:9" ht="13.5" thickBot="1" x14ac:dyDescent="0.25">
      <c r="C586" s="295"/>
      <c r="E586" s="129" t="s">
        <v>2102</v>
      </c>
      <c r="F586" s="295"/>
      <c r="G586" s="1940">
        <f>+$I$5</f>
        <v>0.13614999999999999</v>
      </c>
      <c r="I586" s="149">
        <f>(I584+I585)*G586</f>
        <v>1593.9761249999999</v>
      </c>
    </row>
    <row r="587" spans="1:9" ht="13.5" thickBot="1" x14ac:dyDescent="0.25">
      <c r="A587" s="933"/>
      <c r="H587" s="129" t="s">
        <v>23</v>
      </c>
      <c r="I587" s="939">
        <f>ROUND(SUM(I583:I586),1)</f>
        <v>22010.799999999999</v>
      </c>
    </row>
    <row r="588" spans="1:9" x14ac:dyDescent="0.2">
      <c r="C588" s="295"/>
      <c r="F588" s="295"/>
      <c r="I588" s="295"/>
    </row>
    <row r="589" spans="1:9" ht="40.5" customHeight="1" x14ac:dyDescent="0.2">
      <c r="C589" s="2054" t="s">
        <v>1235</v>
      </c>
      <c r="D589" s="2054"/>
      <c r="E589" s="2054"/>
      <c r="F589" s="2054"/>
      <c r="G589" s="2054"/>
      <c r="H589" s="2054"/>
      <c r="I589" s="1000"/>
    </row>
    <row r="590" spans="1:9" x14ac:dyDescent="0.2">
      <c r="D590" s="1029">
        <f>RAM!F115*1000</f>
        <v>200</v>
      </c>
      <c r="E590" s="129" t="s">
        <v>1083</v>
      </c>
      <c r="I590" s="1030" t="s">
        <v>209</v>
      </c>
    </row>
    <row r="591" spans="1:9" x14ac:dyDescent="0.2">
      <c r="C591" s="295">
        <f>+(D590/1000)*10</f>
        <v>2</v>
      </c>
      <c r="D591" s="129" t="s">
        <v>20</v>
      </c>
      <c r="E591" s="129" t="s">
        <v>1221</v>
      </c>
      <c r="F591" s="970">
        <f>F599</f>
        <v>6820.2</v>
      </c>
      <c r="G591" s="129">
        <v>1</v>
      </c>
      <c r="H591" s="129" t="s">
        <v>20</v>
      </c>
      <c r="I591" s="295">
        <f>+F591*C591</f>
        <v>13640.4</v>
      </c>
    </row>
    <row r="592" spans="1:9" x14ac:dyDescent="0.2">
      <c r="C592" s="295">
        <f>1000/D590</f>
        <v>5</v>
      </c>
      <c r="D592" s="129" t="s">
        <v>1087</v>
      </c>
      <c r="E592" s="129" t="s">
        <v>1086</v>
      </c>
      <c r="F592" s="960">
        <f>+IF(D590&lt;=150,SSR!$E$4,SSR!$E$5)</f>
        <v>418</v>
      </c>
      <c r="G592" s="129">
        <v>1</v>
      </c>
      <c r="H592" s="129" t="s">
        <v>1087</v>
      </c>
      <c r="I592" s="295">
        <f>+F592*C592/G592</f>
        <v>2090</v>
      </c>
    </row>
    <row r="593" spans="1:11" x14ac:dyDescent="0.2">
      <c r="C593" s="295"/>
      <c r="E593" s="129" t="str">
        <f>+IF($I$4=0%,"---","Municipal allowance")</f>
        <v>Municipal allowance</v>
      </c>
      <c r="F593" s="928">
        <f>$I$4</f>
        <v>0.2</v>
      </c>
      <c r="I593" s="295">
        <f>I592*0.25*F593</f>
        <v>104.5</v>
      </c>
    </row>
    <row r="594" spans="1:11" ht="13.5" thickBot="1" x14ac:dyDescent="0.25">
      <c r="C594" s="295"/>
      <c r="E594" s="129" t="s">
        <v>2102</v>
      </c>
      <c r="F594" s="295"/>
      <c r="G594" s="1940">
        <f>+$I$5</f>
        <v>0.13614999999999999</v>
      </c>
      <c r="I594" s="149">
        <f>SUM(I592:I593)*G594</f>
        <v>298.78117499999996</v>
      </c>
    </row>
    <row r="595" spans="1:11" ht="13.5" thickBot="1" x14ac:dyDescent="0.25">
      <c r="A595" s="933"/>
      <c r="H595" s="417" t="s">
        <v>1089</v>
      </c>
      <c r="I595" s="939">
        <f>ROUND(SUM(I591:I594),1)</f>
        <v>16133.7</v>
      </c>
    </row>
    <row r="596" spans="1:11" x14ac:dyDescent="0.2">
      <c r="A596" s="933"/>
      <c r="H596" s="1034"/>
      <c r="I596" s="941"/>
    </row>
    <row r="597" spans="1:11" ht="40.5" customHeight="1" x14ac:dyDescent="0.2">
      <c r="C597" s="2054" t="s">
        <v>1238</v>
      </c>
      <c r="D597" s="2054"/>
      <c r="E597" s="2054"/>
      <c r="F597" s="2054"/>
      <c r="G597" s="2054"/>
      <c r="H597" s="2054"/>
      <c r="I597" s="1000"/>
    </row>
    <row r="598" spans="1:11" x14ac:dyDescent="0.2">
      <c r="D598" s="1029">
        <f>RAM!F116*1000</f>
        <v>100</v>
      </c>
      <c r="E598" s="129" t="s">
        <v>1083</v>
      </c>
      <c r="I598" s="1030" t="s">
        <v>209</v>
      </c>
    </row>
    <row r="599" spans="1:11" x14ac:dyDescent="0.2">
      <c r="C599" s="295">
        <f>+(D598/1000)*10</f>
        <v>1</v>
      </c>
      <c r="D599" s="129" t="s">
        <v>20</v>
      </c>
      <c r="E599" s="129" t="s">
        <v>1221</v>
      </c>
      <c r="F599" s="970">
        <f>$I$139</f>
        <v>6820.2</v>
      </c>
      <c r="G599" s="129">
        <v>1</v>
      </c>
      <c r="H599" s="129" t="s">
        <v>20</v>
      </c>
      <c r="I599" s="295">
        <f>+F599*C599</f>
        <v>6820.2</v>
      </c>
    </row>
    <row r="600" spans="1:11" x14ac:dyDescent="0.2">
      <c r="C600" s="295">
        <f>1000/D598</f>
        <v>10</v>
      </c>
      <c r="D600" s="129" t="s">
        <v>1087</v>
      </c>
      <c r="E600" s="129" t="s">
        <v>1086</v>
      </c>
      <c r="F600" s="960">
        <f>+IF(D598&lt;=150,SSR!$E$4,SSR!$E$5)</f>
        <v>389</v>
      </c>
      <c r="G600" s="129">
        <v>1</v>
      </c>
      <c r="H600" s="129" t="s">
        <v>1087</v>
      </c>
      <c r="I600" s="295">
        <f>+F600*C600/G600</f>
        <v>3890</v>
      </c>
    </row>
    <row r="601" spans="1:11" x14ac:dyDescent="0.2">
      <c r="C601" s="1031">
        <v>1</v>
      </c>
      <c r="D601" s="930"/>
      <c r="E601" s="1048" t="s">
        <v>1239</v>
      </c>
      <c r="F601" s="960">
        <f>SSR!$E$7</f>
        <v>134</v>
      </c>
      <c r="G601" s="1032">
        <v>1</v>
      </c>
      <c r="H601" s="1033" t="s">
        <v>20</v>
      </c>
      <c r="I601" s="932">
        <f>C601*F601</f>
        <v>134</v>
      </c>
    </row>
    <row r="602" spans="1:11" x14ac:dyDescent="0.2">
      <c r="C602" s="1031"/>
      <c r="D602" s="930"/>
      <c r="E602" s="129" t="str">
        <f>+IF($I$4=0%,"---","Municipal allowance")</f>
        <v>Municipal allowance</v>
      </c>
      <c r="F602" s="928">
        <f>$I$4</f>
        <v>0.2</v>
      </c>
      <c r="G602" s="1032"/>
      <c r="H602" s="1033"/>
      <c r="I602" s="932">
        <f>(I600+I601)*0.25*F602</f>
        <v>201.20000000000002</v>
      </c>
      <c r="K602" s="941"/>
    </row>
    <row r="603" spans="1:11" ht="13.5" thickBot="1" x14ac:dyDescent="0.25">
      <c r="C603" s="295"/>
      <c r="E603" s="129" t="s">
        <v>2102</v>
      </c>
      <c r="F603" s="295"/>
      <c r="G603" s="1940">
        <f>+$I$5</f>
        <v>0.13614999999999999</v>
      </c>
      <c r="I603" s="149">
        <f>SUM(I600:I602)*G603</f>
        <v>575.2609799999999</v>
      </c>
      <c r="K603" s="941"/>
    </row>
    <row r="604" spans="1:11" ht="13.5" thickBot="1" x14ac:dyDescent="0.25">
      <c r="A604" s="933"/>
      <c r="C604" s="295"/>
      <c r="F604" s="295"/>
      <c r="H604" s="417" t="s">
        <v>1089</v>
      </c>
      <c r="I604" s="939">
        <f>ROUND(SUM(I599:I603),1)</f>
        <v>11620.7</v>
      </c>
      <c r="K604" s="941"/>
    </row>
    <row r="605" spans="1:11" x14ac:dyDescent="0.2">
      <c r="K605" s="941"/>
    </row>
    <row r="606" spans="1:11" ht="42" customHeight="1" x14ac:dyDescent="0.2">
      <c r="B606" s="958">
        <v>40</v>
      </c>
      <c r="C606" s="2062" t="s">
        <v>2081</v>
      </c>
      <c r="D606" s="2062"/>
      <c r="E606" s="2062"/>
      <c r="F606" s="2062"/>
      <c r="G606" s="2062"/>
      <c r="H606" s="2062"/>
      <c r="I606" s="2062"/>
      <c r="J606" s="2062"/>
      <c r="K606" s="2062"/>
    </row>
    <row r="607" spans="1:11" x14ac:dyDescent="0.2">
      <c r="B607" s="958"/>
      <c r="C607" s="1026" t="s">
        <v>1220</v>
      </c>
      <c r="D607" s="1042"/>
      <c r="E607" s="1042"/>
      <c r="F607" s="1050">
        <f>RAM!E17</f>
        <v>0.3</v>
      </c>
      <c r="G607" s="1050">
        <f>RAM!E16</f>
        <v>0.3</v>
      </c>
      <c r="H607" s="1042"/>
      <c r="I607" s="1042"/>
      <c r="J607" s="1042"/>
      <c r="K607" s="1042"/>
    </row>
    <row r="608" spans="1:11" x14ac:dyDescent="0.2">
      <c r="C608" s="686">
        <v>1</v>
      </c>
      <c r="D608" s="129" t="s">
        <v>20</v>
      </c>
      <c r="E608" s="129" t="s">
        <v>1221</v>
      </c>
      <c r="F608" s="295">
        <f>$I$389</f>
        <v>8304.7000000000007</v>
      </c>
      <c r="G608" s="129">
        <v>1</v>
      </c>
      <c r="H608" s="129" t="s">
        <v>20</v>
      </c>
      <c r="I608" s="295">
        <f>+F608*C608</f>
        <v>8304.7000000000007</v>
      </c>
    </row>
    <row r="609" spans="1:11" x14ac:dyDescent="0.2">
      <c r="C609" s="686">
        <v>1</v>
      </c>
      <c r="D609" s="129" t="s">
        <v>20</v>
      </c>
      <c r="E609" s="129" t="s">
        <v>1086</v>
      </c>
      <c r="F609" s="960">
        <f>SSR!E20</f>
        <v>3428</v>
      </c>
      <c r="G609" s="129">
        <v>1</v>
      </c>
      <c r="H609" s="129" t="s">
        <v>20</v>
      </c>
      <c r="I609" s="295">
        <f>+F609*C609</f>
        <v>3428</v>
      </c>
      <c r="J609" s="129" t="s">
        <v>1243</v>
      </c>
    </row>
    <row r="610" spans="1:11" x14ac:dyDescent="0.2">
      <c r="C610" s="295"/>
      <c r="E610" s="129" t="str">
        <f>+IF($I$4=0%,"---","Municipal allowance")</f>
        <v>Municipal allowance</v>
      </c>
      <c r="F610" s="928">
        <f>$I$4</f>
        <v>0.2</v>
      </c>
      <c r="I610" s="295">
        <f>I609*0.25*F610</f>
        <v>171.4</v>
      </c>
    </row>
    <row r="611" spans="1:11" ht="13.5" thickBot="1" x14ac:dyDescent="0.25">
      <c r="C611" s="295"/>
      <c r="E611" s="129" t="s">
        <v>2102</v>
      </c>
      <c r="F611" s="295"/>
      <c r="G611" s="1940">
        <f>+$I$5</f>
        <v>0.13614999999999999</v>
      </c>
      <c r="I611" s="149">
        <f>(I609+I610)*G611</f>
        <v>490.05831000000001</v>
      </c>
    </row>
    <row r="612" spans="1:11" ht="13.5" thickBot="1" x14ac:dyDescent="0.25">
      <c r="A612" s="933"/>
      <c r="H612" s="129" t="s">
        <v>23</v>
      </c>
      <c r="I612" s="939">
        <f>ROUND(SUM(I608:I611),1)</f>
        <v>12394.2</v>
      </c>
    </row>
    <row r="613" spans="1:11" x14ac:dyDescent="0.2">
      <c r="K613" s="980"/>
    </row>
    <row r="614" spans="1:11" ht="34.5" customHeight="1" x14ac:dyDescent="0.2">
      <c r="B614" s="958">
        <v>41</v>
      </c>
      <c r="C614" s="2054" t="s">
        <v>2082</v>
      </c>
      <c r="D614" s="2054"/>
      <c r="E614" s="2054"/>
      <c r="F614" s="2054"/>
      <c r="G614" s="2054"/>
      <c r="H614" s="2054"/>
      <c r="I614" s="2054"/>
      <c r="J614" s="1000"/>
      <c r="K614" s="1000"/>
    </row>
    <row r="615" spans="1:11" x14ac:dyDescent="0.2">
      <c r="D615" s="1028"/>
      <c r="E615" s="139" t="s">
        <v>1083</v>
      </c>
      <c r="K615" s="295"/>
    </row>
    <row r="616" spans="1:11" x14ac:dyDescent="0.2">
      <c r="C616" s="295">
        <v>1</v>
      </c>
      <c r="D616" s="129" t="s">
        <v>20</v>
      </c>
      <c r="E616" s="129" t="s">
        <v>1221</v>
      </c>
      <c r="F616" s="295">
        <f>$I$402</f>
        <v>8709.2999999999993</v>
      </c>
      <c r="G616" s="129">
        <v>1</v>
      </c>
      <c r="H616" s="129" t="s">
        <v>20</v>
      </c>
      <c r="I616" s="295">
        <f>+F616*C616</f>
        <v>8709.2999999999993</v>
      </c>
    </row>
    <row r="617" spans="1:11" x14ac:dyDescent="0.2">
      <c r="C617" s="295">
        <v>1</v>
      </c>
      <c r="D617" s="129" t="s">
        <v>20</v>
      </c>
      <c r="E617" s="129" t="s">
        <v>1086</v>
      </c>
      <c r="F617" s="960">
        <f>SSR!E23</f>
        <v>2041</v>
      </c>
      <c r="G617" s="129">
        <v>1</v>
      </c>
      <c r="H617" s="129" t="s">
        <v>20</v>
      </c>
      <c r="I617" s="295">
        <f>+F617*C617</f>
        <v>2041</v>
      </c>
    </row>
    <row r="618" spans="1:11" x14ac:dyDescent="0.2">
      <c r="C618" s="295"/>
      <c r="E618" s="129" t="str">
        <f>+IF($I$4=0%,"---","Municipal allowance")</f>
        <v>Municipal allowance</v>
      </c>
      <c r="F618" s="928">
        <f>$I$4</f>
        <v>0.2</v>
      </c>
      <c r="I618" s="295">
        <f>I617*0.25*F618</f>
        <v>102.05000000000001</v>
      </c>
    </row>
    <row r="619" spans="1:11" x14ac:dyDescent="0.2">
      <c r="B619" s="1051"/>
      <c r="C619" s="295"/>
      <c r="E619" s="129" t="s">
        <v>2102</v>
      </c>
      <c r="F619" s="1940">
        <f>+$I$5</f>
        <v>0.13614999999999999</v>
      </c>
      <c r="I619" s="149">
        <f>(I617+I618)*F619</f>
        <v>291.77625749999999</v>
      </c>
    </row>
    <row r="620" spans="1:11" ht="13.5" thickBot="1" x14ac:dyDescent="0.25">
      <c r="C620" s="295"/>
      <c r="G620" s="536"/>
      <c r="I620" s="295"/>
    </row>
    <row r="621" spans="1:11" ht="13.5" thickBot="1" x14ac:dyDescent="0.25">
      <c r="H621" s="129" t="s">
        <v>23</v>
      </c>
      <c r="I621" s="939">
        <f>ROUND(SUM(I616:I620),1)</f>
        <v>11144.1</v>
      </c>
    </row>
    <row r="622" spans="1:11" x14ac:dyDescent="0.2">
      <c r="K622" s="980"/>
    </row>
    <row r="623" spans="1:11" ht="30.75" customHeight="1" x14ac:dyDescent="0.2">
      <c r="B623" s="1025">
        <f>COUNT($B$29:B613)+1</f>
        <v>44</v>
      </c>
      <c r="C623" s="2062" t="s">
        <v>1225</v>
      </c>
      <c r="D623" s="2062"/>
      <c r="E623" s="2062"/>
      <c r="F623" s="2062"/>
      <c r="G623" s="2062"/>
      <c r="H623" s="2062"/>
      <c r="I623" s="2062"/>
      <c r="J623" s="2062"/>
      <c r="K623" s="2062"/>
    </row>
    <row r="624" spans="1:11" x14ac:dyDescent="0.2">
      <c r="C624" s="1052" t="s">
        <v>1244</v>
      </c>
      <c r="D624" s="1027">
        <f>RAM!E18*1000</f>
        <v>100</v>
      </c>
      <c r="E624" s="129" t="s">
        <v>1083</v>
      </c>
      <c r="K624" s="295"/>
    </row>
    <row r="625" spans="1:11" x14ac:dyDescent="0.2">
      <c r="C625" s="295">
        <v>1</v>
      </c>
      <c r="D625" s="129" t="s">
        <v>20</v>
      </c>
      <c r="E625" s="129" t="s">
        <v>1221</v>
      </c>
      <c r="F625" s="970">
        <f>$I$414</f>
        <v>6885.5</v>
      </c>
      <c r="G625" s="129">
        <v>1</v>
      </c>
      <c r="H625" s="129" t="s">
        <v>20</v>
      </c>
      <c r="I625" s="295">
        <f>+F625*C625</f>
        <v>6885.5</v>
      </c>
    </row>
    <row r="626" spans="1:11" x14ac:dyDescent="0.2">
      <c r="C626" s="295">
        <f>1000/D624</f>
        <v>10</v>
      </c>
      <c r="D626" s="129" t="s">
        <v>1085</v>
      </c>
      <c r="E626" s="668" t="s">
        <v>1245</v>
      </c>
      <c r="F626" s="295">
        <f>SSR!$E$13</f>
        <v>2670</v>
      </c>
      <c r="G626" s="129">
        <v>1</v>
      </c>
      <c r="H626" s="129" t="s">
        <v>1085</v>
      </c>
      <c r="I626" s="295">
        <f>+F626*C626/G626</f>
        <v>26700</v>
      </c>
    </row>
    <row r="627" spans="1:11" x14ac:dyDescent="0.2">
      <c r="C627" s="295"/>
      <c r="E627" s="129" t="str">
        <f>+IF($I$4=0%,"---","Municipal allowance")</f>
        <v>Municipal allowance</v>
      </c>
      <c r="F627" s="928">
        <f>$I$4</f>
        <v>0.2</v>
      </c>
      <c r="I627" s="295">
        <f>I626*0.25*F627</f>
        <v>1335</v>
      </c>
    </row>
    <row r="628" spans="1:11" ht="13.5" thickBot="1" x14ac:dyDescent="0.25">
      <c r="C628" s="295"/>
      <c r="E628" s="129" t="s">
        <v>2102</v>
      </c>
      <c r="F628" s="295"/>
      <c r="G628" s="1940">
        <f>+$I$5</f>
        <v>0.13614999999999999</v>
      </c>
      <c r="I628" s="149">
        <f>(I626+I627)*G628</f>
        <v>3816.9652499999997</v>
      </c>
    </row>
    <row r="629" spans="1:11" ht="13.5" thickBot="1" x14ac:dyDescent="0.25">
      <c r="A629" s="933"/>
      <c r="H629" s="129" t="s">
        <v>23</v>
      </c>
      <c r="I629" s="939">
        <f>ROUND(SUM(I625:I628),1)</f>
        <v>38737.5</v>
      </c>
    </row>
    <row r="630" spans="1:11" x14ac:dyDescent="0.2">
      <c r="C630" s="1052" t="s">
        <v>1244</v>
      </c>
      <c r="D630" s="1027">
        <f>RAM!E24*1000</f>
        <v>150</v>
      </c>
      <c r="E630" s="129" t="s">
        <v>1083</v>
      </c>
      <c r="K630" s="295"/>
    </row>
    <row r="631" spans="1:11" x14ac:dyDescent="0.2">
      <c r="C631" s="295">
        <v>1</v>
      </c>
      <c r="D631" s="129" t="s">
        <v>20</v>
      </c>
      <c r="E631" s="129" t="s">
        <v>1221</v>
      </c>
      <c r="F631" s="970">
        <f>$I$414</f>
        <v>6885.5</v>
      </c>
      <c r="G631" s="129">
        <v>1</v>
      </c>
      <c r="H631" s="129" t="s">
        <v>20</v>
      </c>
      <c r="I631" s="295">
        <f>+F631*C631</f>
        <v>6885.5</v>
      </c>
    </row>
    <row r="632" spans="1:11" x14ac:dyDescent="0.2">
      <c r="C632" s="295">
        <f>1000/D630</f>
        <v>6.666666666666667</v>
      </c>
      <c r="D632" s="129" t="s">
        <v>1085</v>
      </c>
      <c r="E632" s="668" t="s">
        <v>1245</v>
      </c>
      <c r="F632" s="295">
        <f>SSR!$E$13</f>
        <v>2670</v>
      </c>
      <c r="G632" s="129">
        <v>1</v>
      </c>
      <c r="H632" s="129" t="s">
        <v>1085</v>
      </c>
      <c r="I632" s="295">
        <f>+F632*C632/G632</f>
        <v>17800</v>
      </c>
    </row>
    <row r="633" spans="1:11" x14ac:dyDescent="0.2">
      <c r="C633" s="295"/>
      <c r="E633" s="129" t="str">
        <f>+IF($I$4=0%,"---","Municipal allowance")</f>
        <v>Municipal allowance</v>
      </c>
      <c r="F633" s="928">
        <f>$I$4</f>
        <v>0.2</v>
      </c>
      <c r="I633" s="295">
        <f>I632*0.25*F633</f>
        <v>890</v>
      </c>
    </row>
    <row r="634" spans="1:11" ht="13.5" thickBot="1" x14ac:dyDescent="0.25">
      <c r="C634" s="295"/>
      <c r="E634" s="129" t="s">
        <v>2102</v>
      </c>
      <c r="F634" s="295"/>
      <c r="G634" s="1940">
        <f>+$I$5</f>
        <v>0.13614999999999999</v>
      </c>
      <c r="I634" s="149">
        <f>(I632+I633)*G634</f>
        <v>2544.6434999999997</v>
      </c>
    </row>
    <row r="635" spans="1:11" ht="13.5" thickBot="1" x14ac:dyDescent="0.25">
      <c r="A635" s="933"/>
      <c r="H635" s="129" t="s">
        <v>23</v>
      </c>
      <c r="I635" s="939">
        <f>ROUND(SUM(I631:I634),1)</f>
        <v>28120.1</v>
      </c>
    </row>
    <row r="636" spans="1:11" x14ac:dyDescent="0.2">
      <c r="A636" s="933"/>
      <c r="C636" s="1053" t="s">
        <v>258</v>
      </c>
      <c r="D636" s="1054"/>
      <c r="I636" s="941"/>
    </row>
    <row r="637" spans="1:11" ht="34.5" customHeight="1" x14ac:dyDescent="0.2">
      <c r="C637" s="2062" t="s">
        <v>1246</v>
      </c>
      <c r="D637" s="2062"/>
      <c r="E637" s="2062"/>
      <c r="F637" s="2062"/>
      <c r="G637" s="2062"/>
      <c r="H637" s="2062"/>
      <c r="I637" s="2062"/>
      <c r="K637" s="941"/>
    </row>
    <row r="638" spans="1:11" x14ac:dyDescent="0.2">
      <c r="C638" s="1026" t="s">
        <v>1220</v>
      </c>
      <c r="D638" s="1027">
        <f>RAM!D179*1000</f>
        <v>200</v>
      </c>
      <c r="E638" s="139" t="s">
        <v>1083</v>
      </c>
      <c r="K638" s="941"/>
    </row>
    <row r="639" spans="1:11" x14ac:dyDescent="0.2">
      <c r="C639" s="295">
        <v>1</v>
      </c>
      <c r="D639" s="129" t="s">
        <v>20</v>
      </c>
      <c r="E639" s="129" t="s">
        <v>1221</v>
      </c>
      <c r="F639" s="970">
        <f>F616</f>
        <v>8709.2999999999993</v>
      </c>
      <c r="G639" s="129">
        <v>1</v>
      </c>
      <c r="H639" s="129" t="s">
        <v>20</v>
      </c>
      <c r="I639" s="295">
        <f>+F639*C639</f>
        <v>8709.2999999999993</v>
      </c>
      <c r="K639" s="941"/>
    </row>
    <row r="640" spans="1:11" x14ac:dyDescent="0.2">
      <c r="C640" s="295">
        <f>1000/D638*1</f>
        <v>5</v>
      </c>
      <c r="D640" s="129" t="s">
        <v>1087</v>
      </c>
      <c r="E640" s="129" t="s">
        <v>1086</v>
      </c>
      <c r="F640" s="960">
        <f>SSR!$E$43</f>
        <v>876</v>
      </c>
      <c r="G640" s="129">
        <v>1</v>
      </c>
      <c r="H640" s="129" t="s">
        <v>1087</v>
      </c>
      <c r="I640" s="295">
        <f>+F640*C640</f>
        <v>4380</v>
      </c>
      <c r="K640" s="941"/>
    </row>
    <row r="641" spans="2:11" x14ac:dyDescent="0.2">
      <c r="C641" s="295"/>
      <c r="E641" s="129" t="str">
        <f>+IF($I$4=0%,"---","Municipal allowance")</f>
        <v>Municipal allowance</v>
      </c>
      <c r="F641" s="928">
        <f>$I$4</f>
        <v>0.2</v>
      </c>
      <c r="I641" s="295">
        <f>I640*0.25*F641</f>
        <v>219</v>
      </c>
      <c r="K641" s="941"/>
    </row>
    <row r="642" spans="2:11" ht="13.5" thickBot="1" x14ac:dyDescent="0.25">
      <c r="C642" s="295"/>
      <c r="E642" s="129" t="s">
        <v>2102</v>
      </c>
      <c r="F642" s="295"/>
      <c r="G642" s="1940">
        <f>+$I$5</f>
        <v>0.13614999999999999</v>
      </c>
      <c r="I642" s="149">
        <f>(I640+I641)*G642</f>
        <v>626.15384999999992</v>
      </c>
      <c r="K642" s="941"/>
    </row>
    <row r="643" spans="2:11" ht="13.5" thickBot="1" x14ac:dyDescent="0.25">
      <c r="H643" s="129" t="s">
        <v>23</v>
      </c>
      <c r="I643" s="939">
        <f>ROUND(SUM(I639:I642),1)</f>
        <v>13934.5</v>
      </c>
      <c r="K643" s="941"/>
    </row>
    <row r="644" spans="2:11" x14ac:dyDescent="0.2">
      <c r="I644" s="941"/>
      <c r="K644" s="941"/>
    </row>
    <row r="645" spans="2:11" ht="35.25" customHeight="1" x14ac:dyDescent="0.2">
      <c r="C645" s="2062" t="s">
        <v>1246</v>
      </c>
      <c r="D645" s="2062"/>
      <c r="E645" s="2062"/>
      <c r="F645" s="2062"/>
      <c r="G645" s="2062"/>
      <c r="H645" s="2062"/>
      <c r="I645" s="2062"/>
      <c r="K645" s="941"/>
    </row>
    <row r="646" spans="2:11" x14ac:dyDescent="0.2">
      <c r="C646" s="1026" t="s">
        <v>1220</v>
      </c>
      <c r="D646" s="1027">
        <f>RAM!D180*1000</f>
        <v>150</v>
      </c>
      <c r="E646" s="139" t="s">
        <v>1083</v>
      </c>
      <c r="K646" s="941"/>
    </row>
    <row r="647" spans="2:11" x14ac:dyDescent="0.2">
      <c r="C647" s="295">
        <v>1</v>
      </c>
      <c r="D647" s="129" t="s">
        <v>20</v>
      </c>
      <c r="E647" s="129" t="s">
        <v>1221</v>
      </c>
      <c r="F647" s="970">
        <f>F639</f>
        <v>8709.2999999999993</v>
      </c>
      <c r="G647" s="129">
        <v>1</v>
      </c>
      <c r="H647" s="129" t="s">
        <v>20</v>
      </c>
      <c r="I647" s="295">
        <f>+F647*C647</f>
        <v>8709.2999999999993</v>
      </c>
      <c r="K647" s="941"/>
    </row>
    <row r="648" spans="2:11" x14ac:dyDescent="0.2">
      <c r="C648" s="295">
        <f>1000/D646*1</f>
        <v>6.666666666666667</v>
      </c>
      <c r="D648" s="129" t="s">
        <v>1087</v>
      </c>
      <c r="E648" s="129" t="s">
        <v>1086</v>
      </c>
      <c r="F648" s="960">
        <f>SSR!$E$43</f>
        <v>876</v>
      </c>
      <c r="G648" s="129">
        <v>1</v>
      </c>
      <c r="H648" s="129" t="s">
        <v>1087</v>
      </c>
      <c r="I648" s="295">
        <f>+F648*C648</f>
        <v>5840</v>
      </c>
      <c r="K648" s="941"/>
    </row>
    <row r="649" spans="2:11" x14ac:dyDescent="0.2">
      <c r="C649" s="295"/>
      <c r="E649" s="129" t="str">
        <f>+IF($I$4=0%,"---","Municipal allowance")</f>
        <v>Municipal allowance</v>
      </c>
      <c r="F649" s="928">
        <f>$I$4</f>
        <v>0.2</v>
      </c>
      <c r="I649" s="295">
        <f>I648*0.25*F649</f>
        <v>292</v>
      </c>
      <c r="K649" s="941"/>
    </row>
    <row r="650" spans="2:11" ht="13.5" thickBot="1" x14ac:dyDescent="0.25">
      <c r="C650" s="295"/>
      <c r="E650" s="129" t="s">
        <v>2102</v>
      </c>
      <c r="F650" s="295"/>
      <c r="G650" s="1940">
        <f>+$I$5</f>
        <v>0.13614999999999999</v>
      </c>
      <c r="I650" s="149">
        <f>(I648+I649)*G650</f>
        <v>834.87180000000001</v>
      </c>
      <c r="K650" s="941"/>
    </row>
    <row r="651" spans="2:11" ht="13.5" thickBot="1" x14ac:dyDescent="0.25">
      <c r="H651" s="129" t="s">
        <v>23</v>
      </c>
      <c r="I651" s="939">
        <f>ROUND(SUM(I647:I650),1)</f>
        <v>15676.2</v>
      </c>
      <c r="K651" s="941"/>
    </row>
    <row r="652" spans="2:11" x14ac:dyDescent="0.2">
      <c r="I652" s="941"/>
      <c r="K652" s="941"/>
    </row>
    <row r="653" spans="2:11" ht="29.25" customHeight="1" x14ac:dyDescent="0.2">
      <c r="B653" s="324">
        <v>42</v>
      </c>
      <c r="C653" s="2063" t="s">
        <v>1247</v>
      </c>
      <c r="D653" s="2063"/>
      <c r="E653" s="2063"/>
      <c r="F653" s="2063"/>
      <c r="G653" s="2063"/>
      <c r="H653" s="2063"/>
      <c r="I653" s="2063"/>
      <c r="J653" s="1055"/>
      <c r="K653" s="1055"/>
    </row>
    <row r="654" spans="2:11" x14ac:dyDescent="0.2">
      <c r="C654" s="1056">
        <v>0.15</v>
      </c>
      <c r="D654" s="1056" t="s">
        <v>20</v>
      </c>
      <c r="E654" s="1056" t="s">
        <v>1120</v>
      </c>
      <c r="F654" s="1057">
        <f>I350</f>
        <v>4863.2</v>
      </c>
      <c r="G654" s="1056">
        <v>1</v>
      </c>
      <c r="H654" s="1056" t="s">
        <v>20</v>
      </c>
      <c r="I654" s="1057">
        <f>+F654*C654</f>
        <v>729.4799999999999</v>
      </c>
    </row>
    <row r="655" spans="2:11" x14ac:dyDescent="0.2">
      <c r="C655" s="1057">
        <v>0.6</v>
      </c>
      <c r="D655" s="1056" t="s">
        <v>1121</v>
      </c>
      <c r="E655" s="1056" t="s">
        <v>1201</v>
      </c>
      <c r="F655" s="295">
        <f>SSR!$E$8</f>
        <v>420</v>
      </c>
      <c r="G655" s="1056"/>
      <c r="H655" s="1056" t="s">
        <v>1202</v>
      </c>
      <c r="I655" s="1057">
        <f>+F655*C655</f>
        <v>252</v>
      </c>
    </row>
    <row r="656" spans="2:11" x14ac:dyDescent="0.2">
      <c r="C656" s="1057">
        <v>0.96</v>
      </c>
      <c r="D656" s="1056" t="s">
        <v>1121</v>
      </c>
      <c r="E656" s="1056" t="s">
        <v>1123</v>
      </c>
      <c r="F656" s="295">
        <f>SSR!$E$10</f>
        <v>320</v>
      </c>
      <c r="G656" s="1056"/>
      <c r="H656" s="1056" t="s">
        <v>1202</v>
      </c>
      <c r="I656" s="1057">
        <f>+F656*C656</f>
        <v>307.2</v>
      </c>
    </row>
    <row r="657" spans="1:11" s="930" customFormat="1" x14ac:dyDescent="0.2">
      <c r="A657" s="929"/>
      <c r="B657" s="927"/>
      <c r="C657" s="1057">
        <v>1.5</v>
      </c>
      <c r="D657" s="1056" t="s">
        <v>1131</v>
      </c>
      <c r="E657" s="1056" t="s">
        <v>1248</v>
      </c>
      <c r="F657" s="1057">
        <f>SSR!E50</f>
        <v>75</v>
      </c>
      <c r="G657" s="1056">
        <v>1</v>
      </c>
      <c r="H657" s="1056" t="s">
        <v>1131</v>
      </c>
      <c r="I657" s="1057">
        <f>+F657*C657</f>
        <v>112.5</v>
      </c>
    </row>
    <row r="658" spans="1:11" x14ac:dyDescent="0.2">
      <c r="C658" s="1057"/>
      <c r="D658" s="1056"/>
      <c r="E658" s="129" t="str">
        <f>+IF($I$4=0%,"---","Municipal allowance")</f>
        <v>Municipal allowance</v>
      </c>
      <c r="F658" s="928">
        <f>$I$4</f>
        <v>0.2</v>
      </c>
      <c r="G658" s="1056"/>
      <c r="H658" s="1056"/>
      <c r="I658" s="1057">
        <f>(I655+I656)*F658</f>
        <v>111.84000000000002</v>
      </c>
    </row>
    <row r="659" spans="1:11" x14ac:dyDescent="0.2">
      <c r="C659" s="1057"/>
      <c r="D659" s="1056"/>
      <c r="E659" s="129" t="s">
        <v>2102</v>
      </c>
      <c r="F659" s="1057"/>
      <c r="G659" s="1940">
        <f>+$I$5</f>
        <v>0.13614999999999999</v>
      </c>
      <c r="H659" s="1056"/>
      <c r="I659" s="1058">
        <f>SUM(I655:I658)*G659</f>
        <v>106.678971</v>
      </c>
    </row>
    <row r="660" spans="1:11" ht="13.5" thickBot="1" x14ac:dyDescent="0.25">
      <c r="C660" s="1056"/>
      <c r="D660" s="1056"/>
      <c r="E660" s="1056"/>
      <c r="F660" s="1057"/>
      <c r="G660" s="1056"/>
      <c r="H660" s="1056"/>
      <c r="I660" s="1057"/>
    </row>
    <row r="661" spans="1:11" ht="13.5" thickBot="1" x14ac:dyDescent="0.25">
      <c r="A661" s="933"/>
      <c r="C661" s="1056"/>
      <c r="D661" s="1056"/>
      <c r="E661" s="1056"/>
      <c r="F661" s="1056"/>
      <c r="G661" s="1056"/>
      <c r="H661" s="1056" t="s">
        <v>23</v>
      </c>
      <c r="I661" s="1059">
        <f>ROUND(SUM(I654:I660),1)</f>
        <v>1619.7</v>
      </c>
    </row>
    <row r="662" spans="1:11" x14ac:dyDescent="0.2">
      <c r="K662" s="941"/>
    </row>
    <row r="663" spans="1:11" ht="33.75" customHeight="1" x14ac:dyDescent="0.2">
      <c r="B663" s="958">
        <v>43</v>
      </c>
      <c r="C663" s="2054" t="s">
        <v>1249</v>
      </c>
      <c r="D663" s="2054"/>
      <c r="E663" s="2054"/>
      <c r="F663" s="2054"/>
      <c r="G663" s="2054"/>
      <c r="H663" s="2054"/>
      <c r="I663" s="2054"/>
      <c r="J663" s="1000"/>
      <c r="K663" s="1000"/>
    </row>
    <row r="664" spans="1:11" x14ac:dyDescent="0.2">
      <c r="C664" s="129">
        <v>0.15</v>
      </c>
      <c r="D664" s="129" t="s">
        <v>20</v>
      </c>
      <c r="E664" s="129" t="s">
        <v>1120</v>
      </c>
      <c r="F664" s="295">
        <f>I350</f>
        <v>4863.2</v>
      </c>
      <c r="G664" s="129">
        <v>1</v>
      </c>
      <c r="H664" s="129" t="s">
        <v>20</v>
      </c>
      <c r="I664" s="295">
        <f>+F664*C664</f>
        <v>729.4799999999999</v>
      </c>
    </row>
    <row r="665" spans="1:11" x14ac:dyDescent="0.2">
      <c r="C665" s="295">
        <v>0.6</v>
      </c>
      <c r="D665" s="129" t="s">
        <v>1121</v>
      </c>
      <c r="E665" s="129" t="s">
        <v>1201</v>
      </c>
      <c r="F665" s="295">
        <f>SSR!$E$8</f>
        <v>420</v>
      </c>
      <c r="H665" s="129" t="s">
        <v>1202</v>
      </c>
      <c r="I665" s="295">
        <f>+F665*C665</f>
        <v>252</v>
      </c>
    </row>
    <row r="666" spans="1:11" x14ac:dyDescent="0.2">
      <c r="C666" s="295">
        <v>0.96</v>
      </c>
      <c r="D666" s="129" t="s">
        <v>1121</v>
      </c>
      <c r="E666" s="129" t="s">
        <v>1123</v>
      </c>
      <c r="F666" s="295">
        <f>SSR!$E$10</f>
        <v>320</v>
      </c>
      <c r="H666" s="129" t="s">
        <v>1202</v>
      </c>
      <c r="I666" s="295">
        <f>+F666*C666</f>
        <v>307.2</v>
      </c>
    </row>
    <row r="667" spans="1:11" x14ac:dyDescent="0.2">
      <c r="C667" s="295"/>
      <c r="E667" s="129" t="str">
        <f>+IF($I$4=0%,"---","Municipal allowance")</f>
        <v>Municipal allowance</v>
      </c>
      <c r="F667" s="928">
        <f>$I$4</f>
        <v>0.2</v>
      </c>
      <c r="I667" s="295">
        <f>(I665+I666)*F667</f>
        <v>111.84000000000002</v>
      </c>
    </row>
    <row r="668" spans="1:11" x14ac:dyDescent="0.2">
      <c r="C668" s="295"/>
      <c r="E668" s="129" t="s">
        <v>2102</v>
      </c>
      <c r="F668" s="295"/>
      <c r="G668" s="1940">
        <f>+$I$5</f>
        <v>0.13614999999999999</v>
      </c>
      <c r="I668" s="149">
        <f>SUM(I665:I667)*G668</f>
        <v>91.362096000000008</v>
      </c>
    </row>
    <row r="669" spans="1:11" ht="13.5" thickBot="1" x14ac:dyDescent="0.25">
      <c r="F669" s="295"/>
      <c r="I669" s="295"/>
    </row>
    <row r="670" spans="1:11" ht="13.5" thickBot="1" x14ac:dyDescent="0.25">
      <c r="A670" s="933"/>
      <c r="H670" s="129" t="s">
        <v>23</v>
      </c>
      <c r="I670" s="939">
        <f>ROUND(SUM(I664:I669),1)</f>
        <v>1491.9</v>
      </c>
    </row>
    <row r="671" spans="1:11" ht="12.6" customHeight="1" x14ac:dyDescent="0.2">
      <c r="K671" s="980"/>
    </row>
    <row r="672" spans="1:11" s="1063" customFormat="1" ht="17.45" customHeight="1" x14ac:dyDescent="0.2">
      <c r="A672" s="1060"/>
      <c r="B672" s="1061">
        <f>COUNT($B$29:B671)+1</f>
        <v>48</v>
      </c>
      <c r="C672" s="1062" t="s">
        <v>1250</v>
      </c>
      <c r="D672" s="1062"/>
      <c r="E672" s="1062"/>
      <c r="F672" s="1062"/>
      <c r="G672" s="1062"/>
      <c r="H672" s="1062"/>
      <c r="I672" s="1062"/>
      <c r="J672" s="1062"/>
      <c r="K672" s="1062"/>
    </row>
    <row r="673" spans="1:11" s="1063" customFormat="1" ht="17.45" customHeight="1" x14ac:dyDescent="0.2">
      <c r="A673" s="1060"/>
      <c r="B673" s="1064"/>
      <c r="C673" s="1063">
        <v>3.5</v>
      </c>
      <c r="D673" s="1063" t="s">
        <v>1131</v>
      </c>
      <c r="E673" s="1063" t="s">
        <v>1251</v>
      </c>
      <c r="F673" s="1065">
        <f>G309</f>
        <v>53</v>
      </c>
      <c r="G673" s="1063">
        <v>1</v>
      </c>
      <c r="H673" s="1063" t="s">
        <v>1252</v>
      </c>
      <c r="I673" s="1066">
        <f>C673*F673</f>
        <v>185.5</v>
      </c>
    </row>
    <row r="674" spans="1:11" s="1063" customFormat="1" ht="17.45" customHeight="1" x14ac:dyDescent="0.2">
      <c r="A674" s="1060"/>
      <c r="B674" s="1064"/>
      <c r="C674" s="1063">
        <v>0.5</v>
      </c>
      <c r="D674" s="1063" t="s">
        <v>1121</v>
      </c>
      <c r="E674" s="1063" t="s">
        <v>1253</v>
      </c>
      <c r="F674" s="1066">
        <f>G310</f>
        <v>480</v>
      </c>
      <c r="H674" s="1063" t="s">
        <v>1202</v>
      </c>
      <c r="I674" s="1066">
        <f>C674*F674</f>
        <v>240</v>
      </c>
    </row>
    <row r="675" spans="1:11" s="1063" customFormat="1" ht="17.45" customHeight="1" x14ac:dyDescent="0.2">
      <c r="A675" s="1060"/>
      <c r="B675" s="1064"/>
      <c r="C675" s="1063">
        <v>1.5</v>
      </c>
      <c r="D675" s="1063" t="s">
        <v>1121</v>
      </c>
      <c r="E675" s="1063" t="s">
        <v>1254</v>
      </c>
      <c r="F675" s="1066">
        <f>SSR!$E$10</f>
        <v>320</v>
      </c>
      <c r="H675" s="1063" t="s">
        <v>1202</v>
      </c>
      <c r="I675" s="1066">
        <f>C675*F675</f>
        <v>480</v>
      </c>
    </row>
    <row r="676" spans="1:11" s="1063" customFormat="1" ht="17.45" customHeight="1" x14ac:dyDescent="0.2">
      <c r="A676" s="1060"/>
      <c r="B676" s="1064"/>
      <c r="E676" s="1063" t="s">
        <v>1185</v>
      </c>
      <c r="F676" s="1066"/>
      <c r="I676" s="1067">
        <f>SUM(I673:I675)*1%</f>
        <v>9.0549999999999997</v>
      </c>
    </row>
    <row r="677" spans="1:11" s="1063" customFormat="1" ht="17.45" customHeight="1" x14ac:dyDescent="0.2">
      <c r="A677" s="1060"/>
      <c r="B677" s="1064"/>
      <c r="E677" s="1063" t="str">
        <f>+IF($I$4=0%,"---","Municipal allowance")</f>
        <v>Municipal allowance</v>
      </c>
      <c r="F677" s="1068">
        <f>$I$4</f>
        <v>0.2</v>
      </c>
      <c r="I677" s="1067">
        <f>(I674+I675)*F677</f>
        <v>144</v>
      </c>
    </row>
    <row r="678" spans="1:11" s="1063" customFormat="1" ht="17.45" customHeight="1" thickBot="1" x14ac:dyDescent="0.25">
      <c r="A678" s="1060"/>
      <c r="B678" s="1064"/>
      <c r="E678" s="1063" t="s">
        <v>2102</v>
      </c>
      <c r="F678" s="1066"/>
      <c r="G678" s="1068">
        <f>+$I$5</f>
        <v>0.13614999999999999</v>
      </c>
      <c r="I678" s="1069">
        <f>SUM(I673:I677)*G678</f>
        <v>144.12226324999997</v>
      </c>
    </row>
    <row r="679" spans="1:11" s="1063" customFormat="1" ht="17.45" customHeight="1" thickBot="1" x14ac:dyDescent="0.25">
      <c r="A679" s="1060"/>
      <c r="B679" s="1064"/>
      <c r="H679" s="1063" t="s">
        <v>23</v>
      </c>
      <c r="I679" s="1070">
        <f>ROUND(SUM(I673:I678),1)</f>
        <v>1202.7</v>
      </c>
    </row>
    <row r="680" spans="1:11" ht="30.6" customHeight="1" x14ac:dyDescent="0.2">
      <c r="E680" s="417" t="s">
        <v>222</v>
      </c>
      <c r="K680" s="295"/>
    </row>
    <row r="681" spans="1:11" ht="33.75" customHeight="1" x14ac:dyDescent="0.2">
      <c r="B681" s="324">
        <v>44</v>
      </c>
      <c r="C681" s="2064" t="s">
        <v>1255</v>
      </c>
      <c r="D681" s="2064"/>
      <c r="E681" s="2064"/>
      <c r="F681" s="2064"/>
      <c r="G681" s="2064"/>
      <c r="H681" s="2064"/>
      <c r="I681" s="2064"/>
      <c r="J681" s="1071"/>
      <c r="K681" s="295"/>
    </row>
    <row r="682" spans="1:11" x14ac:dyDescent="0.2">
      <c r="C682" s="295">
        <v>162</v>
      </c>
      <c r="D682" s="129" t="s">
        <v>1069</v>
      </c>
      <c r="E682" s="129" t="s">
        <v>1204</v>
      </c>
      <c r="F682" s="295">
        <f>Lead!K15</f>
        <v>6400</v>
      </c>
      <c r="G682" s="129" t="s">
        <v>1256</v>
      </c>
      <c r="I682" s="295">
        <f>+C682*F682/1000</f>
        <v>1036.8</v>
      </c>
    </row>
    <row r="683" spans="1:11" x14ac:dyDescent="0.2">
      <c r="C683" s="985">
        <v>0.9</v>
      </c>
      <c r="D683" s="986" t="s">
        <v>1012</v>
      </c>
      <c r="E683" s="986" t="s">
        <v>1257</v>
      </c>
      <c r="F683" s="985">
        <f>Lead!K6</f>
        <v>1581.2582735554283</v>
      </c>
      <c r="G683" s="1072" t="s">
        <v>1258</v>
      </c>
      <c r="I683" s="985">
        <f>C683*F683</f>
        <v>1423.1324461998856</v>
      </c>
    </row>
    <row r="684" spans="1:11" x14ac:dyDescent="0.2">
      <c r="C684" s="985">
        <v>0.45</v>
      </c>
      <c r="D684" s="986" t="s">
        <v>1012</v>
      </c>
      <c r="E684" s="986" t="s">
        <v>1259</v>
      </c>
      <c r="F684" s="985">
        <f>Lead!K11</f>
        <v>1010.7366188443427</v>
      </c>
      <c r="G684" s="1072" t="s">
        <v>1258</v>
      </c>
      <c r="I684" s="985">
        <f>C684*F684</f>
        <v>454.83147847995423</v>
      </c>
    </row>
    <row r="685" spans="1:11" x14ac:dyDescent="0.2">
      <c r="C685" s="985">
        <v>1.2</v>
      </c>
      <c r="D685" s="986" t="s">
        <v>1212</v>
      </c>
      <c r="E685" s="986" t="s">
        <v>1260</v>
      </c>
      <c r="F685" s="1073">
        <f>SSR!E18</f>
        <v>77</v>
      </c>
      <c r="G685" s="986" t="s">
        <v>1212</v>
      </c>
      <c r="I685" s="985">
        <f>C685*F685</f>
        <v>92.399999999999991</v>
      </c>
    </row>
    <row r="686" spans="1:11" x14ac:dyDescent="0.2">
      <c r="C686" s="985">
        <v>0.1</v>
      </c>
      <c r="D686" s="986" t="s">
        <v>1212</v>
      </c>
      <c r="E686" s="986" t="s">
        <v>1261</v>
      </c>
      <c r="F686" s="295">
        <f>SSR!$E$8</f>
        <v>420</v>
      </c>
      <c r="G686" s="1072" t="s">
        <v>1149</v>
      </c>
      <c r="I686" s="985">
        <f>C686*F686</f>
        <v>42</v>
      </c>
    </row>
    <row r="687" spans="1:11" x14ac:dyDescent="0.2">
      <c r="C687" s="1074">
        <v>2.36</v>
      </c>
      <c r="D687" s="986" t="s">
        <v>1262</v>
      </c>
      <c r="E687" s="986" t="s">
        <v>1263</v>
      </c>
      <c r="F687" s="295">
        <f>SSR!$E$10</f>
        <v>320</v>
      </c>
      <c r="G687" s="1072" t="s">
        <v>1149</v>
      </c>
      <c r="I687" s="985">
        <f>C687*F687</f>
        <v>755.19999999999993</v>
      </c>
    </row>
    <row r="688" spans="1:11" x14ac:dyDescent="0.2">
      <c r="C688" s="1074"/>
      <c r="D688" s="986"/>
      <c r="E688" s="129" t="str">
        <f>+IF($I$4=0%,"---","Municipal allowance")</f>
        <v>Municipal allowance</v>
      </c>
      <c r="F688" s="928">
        <f>$I$4</f>
        <v>0.2</v>
      </c>
      <c r="G688" s="1072"/>
      <c r="I688" s="985">
        <f>(I686+I687)*F688</f>
        <v>159.44</v>
      </c>
    </row>
    <row r="689" spans="1:10" ht="13.5" thickBot="1" x14ac:dyDescent="0.25">
      <c r="C689" s="1074"/>
      <c r="D689" s="986"/>
      <c r="E689" s="129" t="s">
        <v>2102</v>
      </c>
      <c r="F689" s="1075"/>
      <c r="G689" s="1940">
        <f>+$I$5</f>
        <v>0.13614999999999999</v>
      </c>
      <c r="H689" s="1072"/>
      <c r="I689" s="985">
        <f>SUM(I682:I688)*G689</f>
        <v>539.67190434516021</v>
      </c>
    </row>
    <row r="690" spans="1:10" ht="13.5" thickBot="1" x14ac:dyDescent="0.25">
      <c r="A690" s="933"/>
      <c r="C690" s="986"/>
      <c r="D690" s="986"/>
      <c r="E690" s="986"/>
      <c r="F690" s="986"/>
      <c r="G690" s="1076"/>
      <c r="H690" s="1077" t="s">
        <v>1039</v>
      </c>
      <c r="I690" s="939">
        <f>ROUND(SUM(I682:I689),1)</f>
        <v>4503.5</v>
      </c>
    </row>
    <row r="691" spans="1:10" x14ac:dyDescent="0.2">
      <c r="J691" s="295"/>
    </row>
    <row r="692" spans="1:10" ht="37.9" customHeight="1" x14ac:dyDescent="0.2">
      <c r="B692" s="324">
        <v>45</v>
      </c>
      <c r="C692" s="2062" t="s">
        <v>1219</v>
      </c>
      <c r="D692" s="2062"/>
      <c r="E692" s="2062"/>
      <c r="F692" s="2062"/>
      <c r="G692" s="2062"/>
      <c r="H692" s="2062"/>
      <c r="I692" s="2062"/>
    </row>
    <row r="693" spans="1:10" x14ac:dyDescent="0.2">
      <c r="C693" s="1026" t="s">
        <v>1264</v>
      </c>
      <c r="D693" s="1027">
        <f>RAM!E124*1000</f>
        <v>100</v>
      </c>
      <c r="E693" s="139" t="s">
        <v>1083</v>
      </c>
    </row>
    <row r="694" spans="1:10" x14ac:dyDescent="0.2">
      <c r="C694" s="295">
        <v>1</v>
      </c>
      <c r="D694" s="129" t="s">
        <v>20</v>
      </c>
      <c r="E694" s="129" t="s">
        <v>1221</v>
      </c>
      <c r="F694" s="970">
        <f>$I$126</f>
        <v>8136.6</v>
      </c>
      <c r="G694" s="129">
        <v>1</v>
      </c>
      <c r="H694" s="129" t="s">
        <v>20</v>
      </c>
      <c r="I694" s="295">
        <f>+F694*C694</f>
        <v>8136.6</v>
      </c>
    </row>
    <row r="695" spans="1:10" x14ac:dyDescent="0.2">
      <c r="C695" s="295">
        <f>1000/D693*1</f>
        <v>10</v>
      </c>
      <c r="D695" s="129" t="s">
        <v>1087</v>
      </c>
      <c r="E695" s="129" t="s">
        <v>1086</v>
      </c>
      <c r="F695" s="1078">
        <f>SSR!$E$35</f>
        <v>1115</v>
      </c>
      <c r="G695" s="129">
        <v>1</v>
      </c>
      <c r="H695" s="129" t="s">
        <v>1087</v>
      </c>
      <c r="I695" s="295">
        <f>+F695*C695</f>
        <v>11150</v>
      </c>
    </row>
    <row r="696" spans="1:10" x14ac:dyDescent="0.2">
      <c r="C696" s="295"/>
      <c r="E696" s="129" t="str">
        <f>+IF($I$4=0%,"---","Municipal allowance")</f>
        <v>Municipal allowance</v>
      </c>
      <c r="F696" s="928">
        <f>$I$4</f>
        <v>0.2</v>
      </c>
      <c r="I696" s="295">
        <f>I695*0.25*F696</f>
        <v>557.5</v>
      </c>
    </row>
    <row r="697" spans="1:10" x14ac:dyDescent="0.2">
      <c r="C697" s="295"/>
      <c r="E697" s="129" t="s">
        <v>2102</v>
      </c>
      <c r="F697" s="295"/>
      <c r="G697" s="1940">
        <f>+$I$5</f>
        <v>0.13614999999999999</v>
      </c>
      <c r="I697" s="149">
        <f>(I695+I696)*G697</f>
        <v>1593.9761249999999</v>
      </c>
    </row>
    <row r="698" spans="1:10" ht="13.5" thickBot="1" x14ac:dyDescent="0.25">
      <c r="C698" s="295"/>
      <c r="F698" s="295"/>
      <c r="I698" s="295"/>
    </row>
    <row r="699" spans="1:10" ht="13.5" thickBot="1" x14ac:dyDescent="0.25">
      <c r="A699" s="933"/>
      <c r="H699" s="129" t="s">
        <v>23</v>
      </c>
      <c r="I699" s="939">
        <f>ROUND(SUM(I694:I698),1)</f>
        <v>21438.1</v>
      </c>
    </row>
    <row r="700" spans="1:10" x14ac:dyDescent="0.2">
      <c r="A700" s="933"/>
      <c r="I700" s="941"/>
    </row>
    <row r="701" spans="1:10" ht="40.9" customHeight="1" x14ac:dyDescent="0.2">
      <c r="B701" s="324">
        <v>46</v>
      </c>
      <c r="C701" s="2062" t="s">
        <v>1265</v>
      </c>
      <c r="D701" s="2062"/>
      <c r="E701" s="2062"/>
      <c r="F701" s="2062"/>
      <c r="G701" s="2062"/>
      <c r="H701" s="2062"/>
      <c r="I701" s="2062"/>
    </row>
    <row r="702" spans="1:10" x14ac:dyDescent="0.2">
      <c r="C702" s="1026" t="s">
        <v>1264</v>
      </c>
      <c r="D702" s="1027">
        <v>100</v>
      </c>
      <c r="E702" s="139" t="s">
        <v>1083</v>
      </c>
    </row>
    <row r="703" spans="1:10" x14ac:dyDescent="0.2">
      <c r="C703" s="295">
        <v>1</v>
      </c>
      <c r="D703" s="129" t="s">
        <v>20</v>
      </c>
      <c r="E703" s="129" t="s">
        <v>1221</v>
      </c>
      <c r="F703" s="970">
        <f>$I$126</f>
        <v>8136.6</v>
      </c>
      <c r="G703" s="129">
        <v>1</v>
      </c>
      <c r="H703" s="129" t="s">
        <v>20</v>
      </c>
      <c r="I703" s="295">
        <f>+F703*C703</f>
        <v>8136.6</v>
      </c>
    </row>
    <row r="704" spans="1:10" x14ac:dyDescent="0.2">
      <c r="C704" s="295">
        <f>1000/D702*1</f>
        <v>10</v>
      </c>
      <c r="D704" s="129" t="s">
        <v>1087</v>
      </c>
      <c r="E704" s="129" t="s">
        <v>1086</v>
      </c>
      <c r="F704" s="1078">
        <f>SSR!$E$43</f>
        <v>876</v>
      </c>
      <c r="G704" s="129">
        <v>1</v>
      </c>
      <c r="H704" s="129" t="s">
        <v>1087</v>
      </c>
      <c r="I704" s="295">
        <f>+F704*C704</f>
        <v>8760</v>
      </c>
    </row>
    <row r="705" spans="1:9" x14ac:dyDescent="0.2">
      <c r="C705" s="295"/>
      <c r="E705" s="129" t="str">
        <f>+IF($I$4=0%,"---","Municipal allowance")</f>
        <v>Municipal allowance</v>
      </c>
      <c r="F705" s="928">
        <f>$I$4</f>
        <v>0.2</v>
      </c>
      <c r="I705" s="295">
        <f>I704*0.25*F705</f>
        <v>438</v>
      </c>
    </row>
    <row r="706" spans="1:9" x14ac:dyDescent="0.2">
      <c r="C706" s="295"/>
      <c r="E706" s="129" t="s">
        <v>2102</v>
      </c>
      <c r="F706" s="295"/>
      <c r="G706" s="1940">
        <f>+$I$5</f>
        <v>0.13614999999999999</v>
      </c>
      <c r="I706" s="149">
        <f>(I704+I705)*G706</f>
        <v>1252.3076999999998</v>
      </c>
    </row>
    <row r="707" spans="1:9" ht="13.5" thickBot="1" x14ac:dyDescent="0.25">
      <c r="C707" s="295"/>
      <c r="F707" s="295"/>
      <c r="I707" s="295"/>
    </row>
    <row r="708" spans="1:9" ht="13.5" thickBot="1" x14ac:dyDescent="0.25">
      <c r="A708" s="933"/>
      <c r="H708" s="129" t="s">
        <v>23</v>
      </c>
      <c r="I708" s="939">
        <f>ROUND(SUM(I703:I707),1)</f>
        <v>18586.900000000001</v>
      </c>
    </row>
    <row r="709" spans="1:9" x14ac:dyDescent="0.2">
      <c r="A709" s="933"/>
      <c r="I709" s="941"/>
    </row>
    <row r="710" spans="1:9" x14ac:dyDescent="0.2">
      <c r="C710" s="1026" t="s">
        <v>1264</v>
      </c>
      <c r="D710" s="1027">
        <v>200</v>
      </c>
      <c r="E710" s="139" t="s">
        <v>1083</v>
      </c>
    </row>
    <row r="711" spans="1:9" x14ac:dyDescent="0.2">
      <c r="C711" s="295">
        <v>1</v>
      </c>
      <c r="D711" s="129" t="s">
        <v>20</v>
      </c>
      <c r="E711" s="129" t="s">
        <v>1221</v>
      </c>
      <c r="F711" s="970">
        <f>$I$126</f>
        <v>8136.6</v>
      </c>
      <c r="G711" s="129">
        <v>1</v>
      </c>
      <c r="H711" s="129" t="s">
        <v>20</v>
      </c>
      <c r="I711" s="295">
        <f>+F711*C711</f>
        <v>8136.6</v>
      </c>
    </row>
    <row r="712" spans="1:9" x14ac:dyDescent="0.2">
      <c r="C712" s="295">
        <f>1000/D710*1</f>
        <v>5</v>
      </c>
      <c r="D712" s="129" t="s">
        <v>1087</v>
      </c>
      <c r="E712" s="129" t="s">
        <v>1086</v>
      </c>
      <c r="F712" s="1078">
        <f>SSR!$E$43</f>
        <v>876</v>
      </c>
      <c r="G712" s="129">
        <v>1</v>
      </c>
      <c r="H712" s="129" t="s">
        <v>1087</v>
      </c>
      <c r="I712" s="295">
        <f>+F712*C712</f>
        <v>4380</v>
      </c>
    </row>
    <row r="713" spans="1:9" x14ac:dyDescent="0.2">
      <c r="C713" s="295"/>
      <c r="E713" s="129" t="str">
        <f>+IF($I$4=0%,"---","Municipal allowance")</f>
        <v>Municipal allowance</v>
      </c>
      <c r="F713" s="928">
        <f>$I$4</f>
        <v>0.2</v>
      </c>
      <c r="I713" s="295">
        <f>I712*0.25*F713</f>
        <v>219</v>
      </c>
    </row>
    <row r="714" spans="1:9" x14ac:dyDescent="0.2">
      <c r="C714" s="295"/>
      <c r="E714" s="129" t="s">
        <v>2102</v>
      </c>
      <c r="F714" s="295"/>
      <c r="G714" s="1940">
        <f>+$I$5</f>
        <v>0.13614999999999999</v>
      </c>
      <c r="I714" s="149">
        <f>(I712+I713)*G714</f>
        <v>626.15384999999992</v>
      </c>
    </row>
    <row r="715" spans="1:9" ht="13.5" thickBot="1" x14ac:dyDescent="0.25">
      <c r="C715" s="295"/>
      <c r="F715" s="295"/>
      <c r="I715" s="295"/>
    </row>
    <row r="716" spans="1:9" ht="13.5" thickBot="1" x14ac:dyDescent="0.25">
      <c r="A716" s="933"/>
      <c r="H716" s="129" t="s">
        <v>23</v>
      </c>
      <c r="I716" s="939">
        <f>ROUND(SUM(I711:I715),1)</f>
        <v>13361.8</v>
      </c>
    </row>
    <row r="717" spans="1:9" x14ac:dyDescent="0.2">
      <c r="A717" s="933"/>
      <c r="I717" s="941"/>
    </row>
    <row r="718" spans="1:9" ht="25.9" customHeight="1" x14ac:dyDescent="0.2">
      <c r="B718" s="324">
        <v>47</v>
      </c>
      <c r="C718" s="2062" t="s">
        <v>1266</v>
      </c>
      <c r="D718" s="2062"/>
      <c r="E718" s="2062"/>
      <c r="F718" s="2062"/>
      <c r="G718" s="2062"/>
      <c r="H718" s="2062"/>
      <c r="I718" s="2062"/>
    </row>
    <row r="719" spans="1:9" x14ac:dyDescent="0.2">
      <c r="D719" s="959">
        <v>100</v>
      </c>
      <c r="E719" s="129" t="s">
        <v>1083</v>
      </c>
    </row>
    <row r="720" spans="1:9" x14ac:dyDescent="0.2">
      <c r="C720" s="295">
        <v>1</v>
      </c>
      <c r="D720" s="129" t="s">
        <v>20</v>
      </c>
      <c r="E720" s="129" t="s">
        <v>1267</v>
      </c>
      <c r="F720" s="970">
        <f>$I$139</f>
        <v>6820.2</v>
      </c>
      <c r="G720" s="515">
        <v>1</v>
      </c>
      <c r="H720" s="515" t="s">
        <v>1087</v>
      </c>
      <c r="I720" s="295">
        <f>+F720*C720</f>
        <v>6820.2</v>
      </c>
    </row>
    <row r="721" spans="1:11" x14ac:dyDescent="0.2">
      <c r="C721" s="295">
        <v>1</v>
      </c>
      <c r="D721" s="129" t="s">
        <v>20</v>
      </c>
      <c r="E721" s="129" t="s">
        <v>1086</v>
      </c>
      <c r="F721" s="1079">
        <f>SSR!E28</f>
        <v>389</v>
      </c>
      <c r="G721" s="515">
        <v>1</v>
      </c>
      <c r="H721" s="515" t="s">
        <v>20</v>
      </c>
      <c r="I721" s="295">
        <f>+F721*C721</f>
        <v>389</v>
      </c>
    </row>
    <row r="722" spans="1:11" x14ac:dyDescent="0.2">
      <c r="C722" s="295"/>
      <c r="E722" s="129" t="str">
        <f>+IF($I$4=0%,"---","Municipal allowance")</f>
        <v>Municipal allowance</v>
      </c>
      <c r="F722" s="928">
        <f>$I$4</f>
        <v>0.2</v>
      </c>
      <c r="G722" s="515"/>
      <c r="H722" s="515"/>
      <c r="I722" s="295">
        <f>I721*0.25*F722</f>
        <v>19.450000000000003</v>
      </c>
    </row>
    <row r="723" spans="1:11" x14ac:dyDescent="0.2">
      <c r="C723" s="295"/>
      <c r="E723" s="129" t="s">
        <v>2102</v>
      </c>
      <c r="F723" s="295"/>
      <c r="G723" s="1940">
        <f>+$I$5</f>
        <v>0.13614999999999999</v>
      </c>
      <c r="I723" s="149">
        <f>(I722+I721)*G723</f>
        <v>55.610467499999999</v>
      </c>
    </row>
    <row r="724" spans="1:11" ht="13.5" thickBot="1" x14ac:dyDescent="0.25">
      <c r="E724" s="536" t="s">
        <v>1088</v>
      </c>
      <c r="F724" s="295"/>
      <c r="I724" s="295"/>
    </row>
    <row r="725" spans="1:11" ht="13.5" thickBot="1" x14ac:dyDescent="0.25">
      <c r="A725" s="933"/>
      <c r="H725" s="129" t="s">
        <v>23</v>
      </c>
      <c r="I725" s="939">
        <f>ROUND(SUM(I720:I724),1)</f>
        <v>7284.3</v>
      </c>
    </row>
    <row r="727" spans="1:11" ht="18" x14ac:dyDescent="0.25">
      <c r="E727" s="1080" t="s">
        <v>1268</v>
      </c>
      <c r="J727" s="1081"/>
      <c r="K727" s="422"/>
    </row>
    <row r="728" spans="1:11" x14ac:dyDescent="0.2">
      <c r="C728" s="2058" t="s">
        <v>1269</v>
      </c>
      <c r="D728" s="2058"/>
      <c r="E728" s="2058"/>
      <c r="F728" s="2058"/>
      <c r="G728" s="2058"/>
      <c r="H728" s="2058"/>
      <c r="I728" s="2058"/>
    </row>
    <row r="729" spans="1:11" x14ac:dyDescent="0.2">
      <c r="C729" s="130" t="s">
        <v>1270</v>
      </c>
    </row>
    <row r="730" spans="1:11" x14ac:dyDescent="0.2">
      <c r="F730" s="1082">
        <f>RAM!E173</f>
        <v>1.65</v>
      </c>
      <c r="G730" s="1083">
        <f>RAM!E172</f>
        <v>0.4</v>
      </c>
    </row>
    <row r="731" spans="1:11" x14ac:dyDescent="0.2">
      <c r="C731" s="1084">
        <v>1</v>
      </c>
      <c r="D731" s="536" t="s">
        <v>20</v>
      </c>
      <c r="E731" s="130" t="s">
        <v>1271</v>
      </c>
      <c r="F731" s="970">
        <f>$I$389</f>
        <v>8304.7000000000007</v>
      </c>
      <c r="G731" s="129">
        <v>1</v>
      </c>
      <c r="H731" s="129" t="s">
        <v>20</v>
      </c>
      <c r="I731" s="295">
        <f>C731*F731</f>
        <v>8304.7000000000007</v>
      </c>
    </row>
    <row r="732" spans="1:11" x14ac:dyDescent="0.2">
      <c r="C732" s="1084">
        <f>1/(F730*G730)*(2*G730)</f>
        <v>1.2121212121212122</v>
      </c>
      <c r="D732" s="129" t="s">
        <v>1087</v>
      </c>
      <c r="E732" s="129" t="s">
        <v>1086</v>
      </c>
      <c r="F732" s="1085">
        <f>SSR!$E$20</f>
        <v>3428</v>
      </c>
      <c r="G732" s="129">
        <v>1</v>
      </c>
      <c r="H732" s="129" t="s">
        <v>20</v>
      </c>
      <c r="I732" s="295">
        <f>+F732*C732</f>
        <v>4155.151515151515</v>
      </c>
    </row>
    <row r="733" spans="1:11" x14ac:dyDescent="0.2">
      <c r="C733" s="295">
        <f>+IF(('C well'!C23+'C well'!B29)&lt;=4,0,ROUND(((('C well'!C23+'C well'!B29)-4)/2),0))</f>
        <v>1</v>
      </c>
      <c r="D733" s="536"/>
      <c r="E733" s="129" t="s">
        <v>1272</v>
      </c>
      <c r="F733" s="1086">
        <f>SSR!$E$3</f>
        <v>41</v>
      </c>
      <c r="G733" s="960"/>
      <c r="H733" s="295"/>
      <c r="I733" s="295">
        <f>+F733</f>
        <v>41</v>
      </c>
    </row>
    <row r="734" spans="1:11" x14ac:dyDescent="0.2">
      <c r="C734" s="295"/>
      <c r="D734" s="536"/>
      <c r="E734" s="129" t="str">
        <f>+IF($I$4=0%,"---","Municipal allowance")</f>
        <v>Municipal allowance</v>
      </c>
      <c r="F734" s="928">
        <f>$I$4</f>
        <v>0.2</v>
      </c>
      <c r="G734" s="960"/>
      <c r="H734" s="295"/>
      <c r="I734" s="295">
        <f>(I732+I733)*F734*0.25</f>
        <v>209.80757575757576</v>
      </c>
    </row>
    <row r="735" spans="1:11" x14ac:dyDescent="0.2">
      <c r="C735" s="295"/>
      <c r="D735" s="536"/>
      <c r="E735" s="129" t="s">
        <v>2102</v>
      </c>
      <c r="F735" s="295"/>
      <c r="G735" s="1940">
        <f>+$I$5</f>
        <v>0.13614999999999999</v>
      </c>
      <c r="H735" s="295"/>
      <c r="I735" s="295">
        <f>ROUND(SUM(I732:I734)*G735,1)</f>
        <v>599.9</v>
      </c>
    </row>
    <row r="736" spans="1:11" ht="13.5" thickBot="1" x14ac:dyDescent="0.25">
      <c r="H736" s="138" t="s">
        <v>23</v>
      </c>
      <c r="I736" s="1087">
        <f>SUM(I731:I735)</f>
        <v>13310.559090909092</v>
      </c>
    </row>
    <row r="737" spans="3:20" ht="13.5" thickTop="1" x14ac:dyDescent="0.2">
      <c r="H737" s="138"/>
      <c r="I737" s="984"/>
    </row>
    <row r="738" spans="3:20" ht="27" customHeight="1" x14ac:dyDescent="0.2">
      <c r="C738" s="2058" t="s">
        <v>1273</v>
      </c>
      <c r="D738" s="2058"/>
      <c r="E738" s="2058"/>
      <c r="F738" s="2058"/>
      <c r="G738" s="2058"/>
      <c r="H738" s="2058"/>
      <c r="I738" s="2058"/>
    </row>
    <row r="739" spans="3:20" x14ac:dyDescent="0.2">
      <c r="C739" s="1088"/>
      <c r="D739" s="1088"/>
      <c r="E739" s="1088"/>
      <c r="F739" s="1089">
        <v>0.45</v>
      </c>
      <c r="G739" s="1090"/>
      <c r="H739" s="1088"/>
      <c r="I739" s="1088"/>
    </row>
    <row r="740" spans="3:20" x14ac:dyDescent="0.2">
      <c r="C740" s="295">
        <v>1</v>
      </c>
      <c r="D740" s="129" t="s">
        <v>20</v>
      </c>
      <c r="E740" s="129" t="s">
        <v>1221</v>
      </c>
      <c r="F740" s="1091">
        <f>$I$402</f>
        <v>8709.2999999999993</v>
      </c>
      <c r="G740" s="129">
        <v>1</v>
      </c>
      <c r="H740" s="129" t="s">
        <v>20</v>
      </c>
      <c r="I740" s="295">
        <f>+F740*C740</f>
        <v>8709.2999999999993</v>
      </c>
    </row>
    <row r="741" spans="3:20" x14ac:dyDescent="0.2">
      <c r="C741" s="980">
        <f>(1/F739)*1</f>
        <v>2.2222222222222223</v>
      </c>
      <c r="D741" s="129" t="s">
        <v>1087</v>
      </c>
      <c r="E741" s="129" t="s">
        <v>1086</v>
      </c>
      <c r="F741" s="1078">
        <f>SSR!$E$35</f>
        <v>1115</v>
      </c>
      <c r="G741" s="129">
        <v>1</v>
      </c>
      <c r="H741" s="129" t="s">
        <v>1087</v>
      </c>
      <c r="I741" s="295">
        <f>+F741*C741</f>
        <v>2477.7777777777778</v>
      </c>
      <c r="K741" s="1973">
        <v>0.16666</v>
      </c>
      <c r="L741" s="1928"/>
      <c r="M741" s="1928"/>
      <c r="N741" s="1928"/>
      <c r="O741" s="1928"/>
      <c r="P741" s="1928"/>
      <c r="Q741" s="1928"/>
      <c r="R741" s="1928"/>
      <c r="S741" s="1928"/>
      <c r="T741" s="1928"/>
    </row>
    <row r="742" spans="3:20" x14ac:dyDescent="0.2">
      <c r="C742" s="295"/>
      <c r="E742" s="129" t="str">
        <f>+IF($I$4=0%,"---","Municipal allowance")</f>
        <v>Municipal allowance</v>
      </c>
      <c r="F742" s="928">
        <f>$I$4</f>
        <v>0.2</v>
      </c>
      <c r="I742" s="295">
        <f>I741*0.25*F742</f>
        <v>123.8888888888889</v>
      </c>
      <c r="K742" s="1928"/>
      <c r="L742" s="1928"/>
      <c r="M742" s="1928"/>
      <c r="N742" s="1928"/>
      <c r="O742" s="1928"/>
      <c r="P742" s="1928"/>
      <c r="Q742" s="1928"/>
      <c r="R742" s="1928"/>
      <c r="S742" s="1928"/>
      <c r="T742" s="1928"/>
    </row>
    <row r="743" spans="3:20" ht="13.5" thickBot="1" x14ac:dyDescent="0.25">
      <c r="C743" s="295"/>
      <c r="E743" s="129" t="s">
        <v>2102</v>
      </c>
      <c r="F743" s="1940">
        <f>+$I$5</f>
        <v>0.13614999999999999</v>
      </c>
      <c r="I743" s="149">
        <f>(I741+I742)*F743</f>
        <v>354.21691666666663</v>
      </c>
      <c r="K743" s="1928"/>
      <c r="L743" s="1928"/>
      <c r="M743" s="1928" t="s">
        <v>2179</v>
      </c>
      <c r="N743" s="1928"/>
      <c r="O743" s="1928"/>
      <c r="P743" s="1928"/>
      <c r="Q743" s="1928"/>
      <c r="R743" s="1928"/>
      <c r="S743" s="1928"/>
      <c r="T743" s="1928"/>
    </row>
    <row r="744" spans="3:20" ht="13.5" thickBot="1" x14ac:dyDescent="0.25">
      <c r="D744" s="526" t="s">
        <v>1274</v>
      </c>
      <c r="E744" s="129" t="s">
        <v>420</v>
      </c>
      <c r="H744" s="129" t="s">
        <v>23</v>
      </c>
      <c r="I744" s="939">
        <f>SUM(I740:I743)</f>
        <v>11665.183583333332</v>
      </c>
      <c r="K744" s="1928"/>
      <c r="L744" s="1928"/>
      <c r="M744" s="1928"/>
      <c r="N744" s="1928"/>
      <c r="O744" s="1928"/>
      <c r="P744" s="1928"/>
      <c r="Q744" s="1928"/>
      <c r="R744" s="1928"/>
      <c r="S744" s="1928"/>
      <c r="T744" s="1928"/>
    </row>
    <row r="745" spans="3:20" ht="14.45" customHeight="1" x14ac:dyDescent="0.2">
      <c r="D745" s="526"/>
      <c r="F745" s="928"/>
      <c r="G745" s="2065" t="s">
        <v>2181</v>
      </c>
      <c r="I745" s="295"/>
      <c r="K745" s="1928"/>
      <c r="L745" s="1928"/>
      <c r="M745" s="1928">
        <v>3</v>
      </c>
      <c r="N745" s="1928">
        <v>0.61</v>
      </c>
      <c r="O745" s="1928"/>
      <c r="P745" s="1928"/>
      <c r="Q745" s="1928"/>
      <c r="R745" s="1928"/>
      <c r="S745" s="1928"/>
      <c r="T745" s="1928"/>
    </row>
    <row r="746" spans="3:20" x14ac:dyDescent="0.2">
      <c r="D746" s="526"/>
      <c r="F746" s="1942" t="s">
        <v>2180</v>
      </c>
      <c r="G746" s="2065"/>
      <c r="H746" s="129" t="s">
        <v>1305</v>
      </c>
      <c r="I746" s="149"/>
      <c r="K746" s="1928" t="s">
        <v>2178</v>
      </c>
      <c r="L746" s="1928"/>
      <c r="M746" s="1928">
        <f>M745+$N$745</f>
        <v>3.61</v>
      </c>
      <c r="N746" s="1928">
        <v>1</v>
      </c>
      <c r="O746" s="1928"/>
      <c r="P746" s="1928"/>
      <c r="Q746" s="1928"/>
      <c r="R746" s="1928"/>
      <c r="S746" s="1928"/>
      <c r="T746" s="1928"/>
    </row>
    <row r="747" spans="3:20" x14ac:dyDescent="0.2">
      <c r="C747" s="139" t="s">
        <v>1275</v>
      </c>
      <c r="D747" s="1967">
        <f>K747</f>
        <v>1</v>
      </c>
      <c r="E747" s="129" t="s">
        <v>422</v>
      </c>
      <c r="F747" s="1092">
        <f>SSR!$E$7</f>
        <v>134</v>
      </c>
      <c r="G747" s="980">
        <f>R747</f>
        <v>2917.68</v>
      </c>
      <c r="H747" s="295">
        <f>+($F$742*($F$747*0.25)+$F$747)*$F$743+F747</f>
        <v>153.156305</v>
      </c>
      <c r="I747" s="980">
        <f>+H747+G747+$I$744</f>
        <v>14736.019888333332</v>
      </c>
      <c r="K747" s="1928">
        <f t="shared" ref="K747:K768" si="12">LOOKUP(L747,$M$746:$M$781,($N$746:$N$781))</f>
        <v>1</v>
      </c>
      <c r="L747" s="1928">
        <v>3.61</v>
      </c>
      <c r="M747" s="1928">
        <f t="shared" ref="M747:M781" si="13">M746+$N$745</f>
        <v>4.22</v>
      </c>
      <c r="N747" s="1928">
        <v>2</v>
      </c>
      <c r="O747" s="1974">
        <f>$K$741*K747</f>
        <v>0.16666</v>
      </c>
      <c r="P747" s="1971">
        <f>O747*$F$741</f>
        <v>185.82589999999999</v>
      </c>
      <c r="Q747" s="1971">
        <f>ROUND($F$741+P747,0)*C741</f>
        <v>2891.1111111111113</v>
      </c>
      <c r="R747" s="1971">
        <f>ROUND(($F$742*(P747*0.25)+P747)*$F$743+Q747,2)</f>
        <v>2917.68</v>
      </c>
      <c r="S747" s="1928"/>
      <c r="T747" s="1928"/>
    </row>
    <row r="748" spans="3:20" x14ac:dyDescent="0.2">
      <c r="D748" s="1967">
        <f t="shared" ref="D748:D768" si="14">K748</f>
        <v>3</v>
      </c>
      <c r="E748" s="129" t="s">
        <v>423</v>
      </c>
      <c r="F748" s="140"/>
      <c r="G748" s="980">
        <f t="shared" ref="G748:G768" si="15">R748</f>
        <v>1751.7</v>
      </c>
      <c r="H748" s="295">
        <f>H747</f>
        <v>153.156305</v>
      </c>
      <c r="I748" s="980">
        <f t="shared" ref="I748:I767" si="16">+H748+G748+$I$744</f>
        <v>13570.039888333331</v>
      </c>
      <c r="K748" s="1928">
        <f t="shared" si="12"/>
        <v>3</v>
      </c>
      <c r="L748" s="1928">
        <v>4.83</v>
      </c>
      <c r="M748" s="1928">
        <f t="shared" si="13"/>
        <v>4.83</v>
      </c>
      <c r="N748" s="1928">
        <v>3</v>
      </c>
      <c r="O748" s="1974">
        <f t="shared" ref="O748:O768" si="17">$K$741*K748</f>
        <v>0.49997999999999998</v>
      </c>
      <c r="P748" s="1971">
        <f t="shared" ref="P748:P768" si="18">O748*$F$741</f>
        <v>557.47770000000003</v>
      </c>
      <c r="Q748" s="1971">
        <f t="shared" ref="Q748:Q768" si="19">ROUND($F$741+P748,0)</f>
        <v>1672</v>
      </c>
      <c r="R748" s="1971">
        <f t="shared" ref="R748:R768" si="20">ROUND(($F$742*(P748*0.25)+P748)*$F$743+Q748,2)</f>
        <v>1751.7</v>
      </c>
      <c r="S748" s="1928"/>
      <c r="T748" s="1928"/>
    </row>
    <row r="749" spans="3:20" x14ac:dyDescent="0.2">
      <c r="D749" s="1967">
        <f t="shared" si="14"/>
        <v>4</v>
      </c>
      <c r="E749" s="129" t="s">
        <v>424</v>
      </c>
      <c r="G749" s="980">
        <f t="shared" si="15"/>
        <v>1964.26</v>
      </c>
      <c r="H749" s="295">
        <f>H748</f>
        <v>153.156305</v>
      </c>
      <c r="I749" s="980">
        <f t="shared" si="16"/>
        <v>13782.599888333332</v>
      </c>
      <c r="K749" s="1928">
        <f t="shared" si="12"/>
        <v>4</v>
      </c>
      <c r="L749" s="1928">
        <v>5.44</v>
      </c>
      <c r="M749" s="1928">
        <f t="shared" si="13"/>
        <v>5.44</v>
      </c>
      <c r="N749" s="1928">
        <v>4</v>
      </c>
      <c r="O749" s="1974">
        <f t="shared" si="17"/>
        <v>0.66664000000000001</v>
      </c>
      <c r="P749" s="1971">
        <f t="shared" si="18"/>
        <v>743.30359999999996</v>
      </c>
      <c r="Q749" s="1971">
        <f t="shared" si="19"/>
        <v>1858</v>
      </c>
      <c r="R749" s="1971">
        <f t="shared" si="20"/>
        <v>1964.26</v>
      </c>
      <c r="S749" s="1928"/>
      <c r="T749" s="1928"/>
    </row>
    <row r="750" spans="3:20" x14ac:dyDescent="0.2">
      <c r="D750" s="1967">
        <f t="shared" si="14"/>
        <v>5</v>
      </c>
      <c r="E750" s="129" t="s">
        <v>425</v>
      </c>
      <c r="G750" s="980">
        <f t="shared" si="15"/>
        <v>2176.83</v>
      </c>
      <c r="H750" s="295">
        <f t="shared" ref="H750:H768" si="21">H749</f>
        <v>153.156305</v>
      </c>
      <c r="I750" s="980">
        <f t="shared" si="16"/>
        <v>13995.169888333332</v>
      </c>
      <c r="K750" s="1928">
        <f t="shared" si="12"/>
        <v>5</v>
      </c>
      <c r="L750" s="1928">
        <v>6.66</v>
      </c>
      <c r="M750" s="1928">
        <f t="shared" si="13"/>
        <v>6.0500000000000007</v>
      </c>
      <c r="N750" s="1928">
        <v>5</v>
      </c>
      <c r="O750" s="1974">
        <f t="shared" si="17"/>
        <v>0.83330000000000004</v>
      </c>
      <c r="P750" s="1971">
        <f t="shared" si="18"/>
        <v>929.12950000000001</v>
      </c>
      <c r="Q750" s="1971">
        <f t="shared" si="19"/>
        <v>2044</v>
      </c>
      <c r="R750" s="1971">
        <f t="shared" si="20"/>
        <v>2176.83</v>
      </c>
      <c r="S750" s="1928"/>
      <c r="T750" s="1928"/>
    </row>
    <row r="751" spans="3:20" x14ac:dyDescent="0.2">
      <c r="D751" s="1967">
        <f t="shared" si="14"/>
        <v>7</v>
      </c>
      <c r="E751" s="129" t="s">
        <v>426</v>
      </c>
      <c r="G751" s="980">
        <f t="shared" si="15"/>
        <v>2601.96</v>
      </c>
      <c r="H751" s="295">
        <f t="shared" si="21"/>
        <v>153.156305</v>
      </c>
      <c r="I751" s="980">
        <f t="shared" si="16"/>
        <v>14420.299888333331</v>
      </c>
      <c r="K751" s="1928">
        <f t="shared" si="12"/>
        <v>7</v>
      </c>
      <c r="L751" s="1928">
        <v>7.88</v>
      </c>
      <c r="M751" s="1928">
        <f t="shared" si="13"/>
        <v>6.660000000000001</v>
      </c>
      <c r="N751" s="1928">
        <v>6</v>
      </c>
      <c r="O751" s="1974">
        <f t="shared" si="17"/>
        <v>1.16662</v>
      </c>
      <c r="P751" s="1971">
        <f t="shared" si="18"/>
        <v>1300.7813000000001</v>
      </c>
      <c r="Q751" s="1971">
        <f t="shared" si="19"/>
        <v>2416</v>
      </c>
      <c r="R751" s="1971">
        <f t="shared" si="20"/>
        <v>2601.96</v>
      </c>
      <c r="S751" s="1928"/>
      <c r="T751" s="1928"/>
    </row>
    <row r="752" spans="3:20" x14ac:dyDescent="0.2">
      <c r="D752" s="1967">
        <f t="shared" si="14"/>
        <v>8</v>
      </c>
      <c r="E752" s="129" t="s">
        <v>1276</v>
      </c>
      <c r="G752" s="980">
        <f t="shared" si="15"/>
        <v>2814.52</v>
      </c>
      <c r="H752" s="295">
        <f t="shared" si="21"/>
        <v>153.156305</v>
      </c>
      <c r="I752" s="980">
        <f t="shared" si="16"/>
        <v>14632.859888333332</v>
      </c>
      <c r="K752" s="1928">
        <f t="shared" si="12"/>
        <v>8</v>
      </c>
      <c r="L752" s="1928">
        <v>8.49</v>
      </c>
      <c r="M752" s="1928">
        <f t="shared" si="13"/>
        <v>7.2700000000000014</v>
      </c>
      <c r="N752" s="1928">
        <v>7</v>
      </c>
      <c r="O752" s="1974">
        <f t="shared" si="17"/>
        <v>1.33328</v>
      </c>
      <c r="P752" s="1971">
        <f t="shared" si="18"/>
        <v>1486.6071999999999</v>
      </c>
      <c r="Q752" s="1971">
        <f t="shared" si="19"/>
        <v>2602</v>
      </c>
      <c r="R752" s="1971">
        <f t="shared" si="20"/>
        <v>2814.52</v>
      </c>
      <c r="S752" s="1928"/>
      <c r="T752" s="1928"/>
    </row>
    <row r="753" spans="4:20" x14ac:dyDescent="0.2">
      <c r="D753" s="1967">
        <f t="shared" si="14"/>
        <v>11</v>
      </c>
      <c r="E753" s="129" t="s">
        <v>1277</v>
      </c>
      <c r="G753" s="980">
        <f t="shared" si="15"/>
        <v>3451.22</v>
      </c>
      <c r="H753" s="295">
        <f t="shared" si="21"/>
        <v>153.156305</v>
      </c>
      <c r="I753" s="980">
        <f t="shared" si="16"/>
        <v>15269.559888333331</v>
      </c>
      <c r="K753" s="1928">
        <f t="shared" si="12"/>
        <v>11</v>
      </c>
      <c r="L753" s="1928">
        <v>9.7100000000000009</v>
      </c>
      <c r="M753" s="1928">
        <f t="shared" si="13"/>
        <v>7.8800000000000017</v>
      </c>
      <c r="N753" s="1928">
        <v>8</v>
      </c>
      <c r="O753" s="1974">
        <f t="shared" si="17"/>
        <v>1.8332600000000001</v>
      </c>
      <c r="P753" s="1971">
        <f t="shared" si="18"/>
        <v>2044.0849000000001</v>
      </c>
      <c r="Q753" s="1971">
        <f t="shared" si="19"/>
        <v>3159</v>
      </c>
      <c r="R753" s="1971">
        <f t="shared" si="20"/>
        <v>3451.22</v>
      </c>
      <c r="S753" s="1928"/>
      <c r="T753" s="1928"/>
    </row>
    <row r="754" spans="4:20" x14ac:dyDescent="0.2">
      <c r="D754" s="1967">
        <f t="shared" si="14"/>
        <v>13</v>
      </c>
      <c r="E754" s="129" t="s">
        <v>1278</v>
      </c>
      <c r="G754" s="980">
        <f t="shared" si="15"/>
        <v>3876.35</v>
      </c>
      <c r="H754" s="295">
        <f t="shared" si="21"/>
        <v>153.156305</v>
      </c>
      <c r="I754" s="980">
        <f t="shared" si="16"/>
        <v>15694.689888333331</v>
      </c>
      <c r="K754" s="1928">
        <f t="shared" si="12"/>
        <v>13</v>
      </c>
      <c r="L754" s="1928">
        <v>10.93</v>
      </c>
      <c r="M754" s="1928">
        <f t="shared" si="13"/>
        <v>8.490000000000002</v>
      </c>
      <c r="N754" s="1928">
        <v>9</v>
      </c>
      <c r="O754" s="1974">
        <f t="shared" si="17"/>
        <v>2.1665800000000002</v>
      </c>
      <c r="P754" s="1971">
        <f t="shared" si="18"/>
        <v>2415.7367000000004</v>
      </c>
      <c r="Q754" s="1971">
        <f t="shared" si="19"/>
        <v>3531</v>
      </c>
      <c r="R754" s="1971">
        <f t="shared" si="20"/>
        <v>3876.35</v>
      </c>
      <c r="S754" s="1928"/>
      <c r="T754" s="1928"/>
    </row>
    <row r="755" spans="4:20" x14ac:dyDescent="0.2">
      <c r="D755" s="1967">
        <f t="shared" si="14"/>
        <v>14</v>
      </c>
      <c r="E755" s="129" t="s">
        <v>1279</v>
      </c>
      <c r="G755" s="980">
        <f t="shared" si="15"/>
        <v>4088.91</v>
      </c>
      <c r="H755" s="295">
        <f t="shared" si="21"/>
        <v>153.156305</v>
      </c>
      <c r="I755" s="980">
        <f t="shared" si="16"/>
        <v>15907.249888333332</v>
      </c>
      <c r="K755" s="1928">
        <f t="shared" si="12"/>
        <v>14</v>
      </c>
      <c r="L755" s="1928">
        <v>11.54</v>
      </c>
      <c r="M755" s="1928">
        <f t="shared" si="13"/>
        <v>9.1000000000000014</v>
      </c>
      <c r="N755" s="1928">
        <v>10</v>
      </c>
      <c r="O755" s="1974">
        <f t="shared" si="17"/>
        <v>2.33324</v>
      </c>
      <c r="P755" s="1971">
        <f t="shared" si="18"/>
        <v>2601.5626000000002</v>
      </c>
      <c r="Q755" s="1971">
        <f t="shared" si="19"/>
        <v>3717</v>
      </c>
      <c r="R755" s="1971">
        <f t="shared" si="20"/>
        <v>4088.91</v>
      </c>
      <c r="S755" s="1928"/>
      <c r="T755" s="1928"/>
    </row>
    <row r="756" spans="4:20" x14ac:dyDescent="0.2">
      <c r="D756" s="1967">
        <f t="shared" si="14"/>
        <v>16</v>
      </c>
      <c r="E756" s="129" t="s">
        <v>431</v>
      </c>
      <c r="G756" s="980">
        <f t="shared" si="15"/>
        <v>4513.04</v>
      </c>
      <c r="H756" s="295">
        <f t="shared" si="21"/>
        <v>153.156305</v>
      </c>
      <c r="I756" s="980">
        <f t="shared" si="16"/>
        <v>16331.379888333333</v>
      </c>
      <c r="K756" s="1928">
        <f t="shared" si="12"/>
        <v>16</v>
      </c>
      <c r="L756" s="1928">
        <v>12.76</v>
      </c>
      <c r="M756" s="1928">
        <f t="shared" si="13"/>
        <v>9.7100000000000009</v>
      </c>
      <c r="N756" s="1928">
        <v>11</v>
      </c>
      <c r="O756" s="1974">
        <f t="shared" si="17"/>
        <v>2.66656</v>
      </c>
      <c r="P756" s="1971">
        <f t="shared" si="18"/>
        <v>2973.2143999999998</v>
      </c>
      <c r="Q756" s="1971">
        <f t="shared" si="19"/>
        <v>4088</v>
      </c>
      <c r="R756" s="1971">
        <f t="shared" si="20"/>
        <v>4513.04</v>
      </c>
      <c r="S756" s="1928"/>
      <c r="T756" s="1928"/>
    </row>
    <row r="757" spans="4:20" x14ac:dyDescent="0.2">
      <c r="D757" s="1967">
        <f t="shared" si="14"/>
        <v>18</v>
      </c>
      <c r="E757" s="129" t="s">
        <v>432</v>
      </c>
      <c r="G757" s="980">
        <f t="shared" si="15"/>
        <v>4938.17</v>
      </c>
      <c r="H757" s="295">
        <f t="shared" si="21"/>
        <v>153.156305</v>
      </c>
      <c r="I757" s="980">
        <f t="shared" si="16"/>
        <v>16756.509888333334</v>
      </c>
      <c r="K757" s="1928">
        <f t="shared" si="12"/>
        <v>18</v>
      </c>
      <c r="L757" s="1928">
        <v>13.98</v>
      </c>
      <c r="M757" s="1928">
        <f t="shared" si="13"/>
        <v>10.32</v>
      </c>
      <c r="N757" s="1928">
        <v>12</v>
      </c>
      <c r="O757" s="1974">
        <f t="shared" si="17"/>
        <v>2.9998800000000001</v>
      </c>
      <c r="P757" s="1971">
        <f t="shared" si="18"/>
        <v>3344.8661999999999</v>
      </c>
      <c r="Q757" s="1971">
        <f t="shared" si="19"/>
        <v>4460</v>
      </c>
      <c r="R757" s="1971">
        <f t="shared" si="20"/>
        <v>4938.17</v>
      </c>
      <c r="S757" s="1928"/>
      <c r="T757" s="1928"/>
    </row>
    <row r="758" spans="4:20" x14ac:dyDescent="0.2">
      <c r="D758" s="1967">
        <f t="shared" si="14"/>
        <v>19</v>
      </c>
      <c r="E758" s="129" t="s">
        <v>433</v>
      </c>
      <c r="G758" s="980">
        <f t="shared" si="15"/>
        <v>5150.74</v>
      </c>
      <c r="H758" s="295">
        <f t="shared" si="21"/>
        <v>153.156305</v>
      </c>
      <c r="I758" s="980">
        <f t="shared" si="16"/>
        <v>16969.079888333334</v>
      </c>
      <c r="K758" s="1928">
        <f t="shared" si="12"/>
        <v>19</v>
      </c>
      <c r="L758" s="1928">
        <v>14.59</v>
      </c>
      <c r="M758" s="1928">
        <f t="shared" si="13"/>
        <v>10.93</v>
      </c>
      <c r="N758" s="1928">
        <v>13</v>
      </c>
      <c r="O758" s="1974">
        <f t="shared" si="17"/>
        <v>3.1665399999999999</v>
      </c>
      <c r="P758" s="1971">
        <f t="shared" si="18"/>
        <v>3530.6920999999998</v>
      </c>
      <c r="Q758" s="1971">
        <f t="shared" si="19"/>
        <v>4646</v>
      </c>
      <c r="R758" s="1971">
        <f>ROUND(($F$742*(P758*0.25)+P758)*$F$743+Q758,2)</f>
        <v>5150.74</v>
      </c>
      <c r="S758" s="1928"/>
      <c r="T758" s="1928"/>
    </row>
    <row r="759" spans="4:20" x14ac:dyDescent="0.2">
      <c r="D759" s="1967">
        <f t="shared" si="14"/>
        <v>21</v>
      </c>
      <c r="E759" s="129" t="s">
        <v>434</v>
      </c>
      <c r="G759" s="980">
        <f t="shared" si="15"/>
        <v>5574.87</v>
      </c>
      <c r="H759" s="295">
        <f t="shared" si="21"/>
        <v>153.156305</v>
      </c>
      <c r="I759" s="980">
        <f t="shared" si="16"/>
        <v>17393.209888333331</v>
      </c>
      <c r="K759" s="1928">
        <f t="shared" si="12"/>
        <v>21</v>
      </c>
      <c r="L759" s="1928">
        <v>15.81</v>
      </c>
      <c r="M759" s="1928">
        <f>M758+$N$745</f>
        <v>11.54</v>
      </c>
      <c r="N759" s="1928">
        <v>14</v>
      </c>
      <c r="O759" s="1974">
        <f t="shared" si="17"/>
        <v>3.49986</v>
      </c>
      <c r="P759" s="1971">
        <f t="shared" si="18"/>
        <v>3902.3438999999998</v>
      </c>
      <c r="Q759" s="1971">
        <f t="shared" si="19"/>
        <v>5017</v>
      </c>
      <c r="R759" s="1971">
        <f t="shared" si="20"/>
        <v>5574.87</v>
      </c>
      <c r="S759" s="1928"/>
      <c r="T759" s="1928"/>
    </row>
    <row r="760" spans="4:20" x14ac:dyDescent="0.2">
      <c r="D760" s="1967">
        <f t="shared" si="14"/>
        <v>22</v>
      </c>
      <c r="E760" s="129" t="s">
        <v>435</v>
      </c>
      <c r="G760" s="980">
        <f t="shared" si="15"/>
        <v>5787.43</v>
      </c>
      <c r="H760" s="295">
        <f t="shared" si="21"/>
        <v>153.156305</v>
      </c>
      <c r="I760" s="980">
        <f t="shared" si="16"/>
        <v>17605.769888333332</v>
      </c>
      <c r="K760" s="1928">
        <f t="shared" si="12"/>
        <v>22</v>
      </c>
      <c r="L760" s="1928">
        <v>16.420000000000002</v>
      </c>
      <c r="M760" s="1928">
        <f t="shared" si="13"/>
        <v>12.149999999999999</v>
      </c>
      <c r="N760" s="1928">
        <v>15</v>
      </c>
      <c r="O760" s="1974">
        <f t="shared" si="17"/>
        <v>3.6665200000000002</v>
      </c>
      <c r="P760" s="1971">
        <f t="shared" si="18"/>
        <v>4088.1698000000001</v>
      </c>
      <c r="Q760" s="1971">
        <f t="shared" si="19"/>
        <v>5203</v>
      </c>
      <c r="R760" s="1971">
        <f t="shared" si="20"/>
        <v>5787.43</v>
      </c>
      <c r="S760" s="1928"/>
      <c r="T760" s="1928"/>
    </row>
    <row r="761" spans="4:20" x14ac:dyDescent="0.2">
      <c r="D761" s="1967">
        <f t="shared" si="14"/>
        <v>24</v>
      </c>
      <c r="E761" s="129" t="s">
        <v>436</v>
      </c>
      <c r="G761" s="980">
        <f t="shared" si="15"/>
        <v>6212.56</v>
      </c>
      <c r="H761" s="295">
        <f t="shared" si="21"/>
        <v>153.156305</v>
      </c>
      <c r="I761" s="980">
        <f t="shared" si="16"/>
        <v>18030.899888333333</v>
      </c>
      <c r="K761" s="1928">
        <f t="shared" si="12"/>
        <v>24</v>
      </c>
      <c r="L761" s="1928">
        <v>17.64</v>
      </c>
      <c r="M761" s="1928">
        <f t="shared" si="13"/>
        <v>12.759999999999998</v>
      </c>
      <c r="N761" s="1928">
        <v>16</v>
      </c>
      <c r="O761" s="1974">
        <f t="shared" si="17"/>
        <v>3.9998399999999998</v>
      </c>
      <c r="P761" s="1971">
        <f t="shared" si="18"/>
        <v>4459.8216000000002</v>
      </c>
      <c r="Q761" s="1971">
        <f t="shared" si="19"/>
        <v>5575</v>
      </c>
      <c r="R761" s="1971">
        <f t="shared" si="20"/>
        <v>6212.56</v>
      </c>
      <c r="S761" s="1928"/>
      <c r="T761" s="1928"/>
    </row>
    <row r="762" spans="4:20" x14ac:dyDescent="0.2">
      <c r="D762" s="1967">
        <f t="shared" si="14"/>
        <v>26</v>
      </c>
      <c r="E762" s="129" t="s">
        <v>437</v>
      </c>
      <c r="G762" s="980">
        <f t="shared" si="15"/>
        <v>6636.7</v>
      </c>
      <c r="H762" s="295">
        <f t="shared" si="21"/>
        <v>153.156305</v>
      </c>
      <c r="I762" s="980">
        <f t="shared" si="16"/>
        <v>18455.039888333333</v>
      </c>
      <c r="K762" s="1928">
        <f t="shared" si="12"/>
        <v>26</v>
      </c>
      <c r="L762" s="1928">
        <v>18.86</v>
      </c>
      <c r="M762" s="1928">
        <f t="shared" si="13"/>
        <v>13.369999999999997</v>
      </c>
      <c r="N762" s="1928">
        <v>17</v>
      </c>
      <c r="O762" s="1974">
        <f t="shared" si="17"/>
        <v>4.3331600000000003</v>
      </c>
      <c r="P762" s="1971">
        <f t="shared" si="18"/>
        <v>4831.4734000000008</v>
      </c>
      <c r="Q762" s="1971">
        <f t="shared" si="19"/>
        <v>5946</v>
      </c>
      <c r="R762" s="1971">
        <f t="shared" si="20"/>
        <v>6636.7</v>
      </c>
      <c r="S762" s="1928"/>
      <c r="T762" s="1928"/>
    </row>
    <row r="763" spans="4:20" x14ac:dyDescent="0.2">
      <c r="D763" s="1967">
        <f t="shared" si="14"/>
        <v>27</v>
      </c>
      <c r="E763" s="129" t="s">
        <v>438</v>
      </c>
      <c r="G763" s="980">
        <f t="shared" si="15"/>
        <v>6849.26</v>
      </c>
      <c r="H763" s="295">
        <f t="shared" si="21"/>
        <v>153.156305</v>
      </c>
      <c r="I763" s="980">
        <f t="shared" si="16"/>
        <v>18667.59988833333</v>
      </c>
      <c r="K763" s="1928">
        <f t="shared" si="12"/>
        <v>27</v>
      </c>
      <c r="L763" s="1928">
        <v>19.47</v>
      </c>
      <c r="M763" s="1928">
        <f t="shared" si="13"/>
        <v>13.979999999999997</v>
      </c>
      <c r="N763" s="1928">
        <v>18</v>
      </c>
      <c r="O763" s="1974">
        <f t="shared" si="17"/>
        <v>4.4998199999999997</v>
      </c>
      <c r="P763" s="1971">
        <f t="shared" si="18"/>
        <v>5017.2992999999997</v>
      </c>
      <c r="Q763" s="1971">
        <f t="shared" si="19"/>
        <v>6132</v>
      </c>
      <c r="R763" s="1971">
        <f t="shared" si="20"/>
        <v>6849.26</v>
      </c>
      <c r="S763" s="1928"/>
      <c r="T763" s="1928"/>
    </row>
    <row r="764" spans="4:20" x14ac:dyDescent="0.2">
      <c r="D764" s="1967">
        <f t="shared" si="14"/>
        <v>29</v>
      </c>
      <c r="E764" s="129" t="s">
        <v>439</v>
      </c>
      <c r="G764" s="980">
        <f t="shared" si="15"/>
        <v>7274.39</v>
      </c>
      <c r="H764" s="295">
        <f t="shared" si="21"/>
        <v>153.156305</v>
      </c>
      <c r="I764" s="980">
        <f t="shared" si="16"/>
        <v>19092.729888333331</v>
      </c>
      <c r="K764" s="1928">
        <f t="shared" si="12"/>
        <v>29</v>
      </c>
      <c r="L764" s="1928">
        <v>20.69</v>
      </c>
      <c r="M764" s="1928">
        <f t="shared" si="13"/>
        <v>14.589999999999996</v>
      </c>
      <c r="N764" s="1928">
        <v>19</v>
      </c>
      <c r="O764" s="1974">
        <f t="shared" si="17"/>
        <v>4.8331400000000002</v>
      </c>
      <c r="P764" s="1971">
        <f t="shared" si="18"/>
        <v>5388.9511000000002</v>
      </c>
      <c r="Q764" s="1971">
        <f t="shared" si="19"/>
        <v>6504</v>
      </c>
      <c r="R764" s="1971">
        <f t="shared" si="20"/>
        <v>7274.39</v>
      </c>
      <c r="S764" s="1928"/>
      <c r="T764" s="1928"/>
    </row>
    <row r="765" spans="4:20" x14ac:dyDescent="0.2">
      <c r="D765" s="1967">
        <f t="shared" si="14"/>
        <v>31</v>
      </c>
      <c r="E765" s="129" t="s">
        <v>440</v>
      </c>
      <c r="G765" s="980">
        <f t="shared" si="15"/>
        <v>7699.52</v>
      </c>
      <c r="H765" s="295">
        <f t="shared" si="21"/>
        <v>153.156305</v>
      </c>
      <c r="I765" s="980">
        <f t="shared" si="16"/>
        <v>19517.859888333332</v>
      </c>
      <c r="K765" s="1928">
        <f t="shared" si="12"/>
        <v>31</v>
      </c>
      <c r="L765" s="1928">
        <v>21.91</v>
      </c>
      <c r="M765" s="1928">
        <f t="shared" si="13"/>
        <v>15.199999999999996</v>
      </c>
      <c r="N765" s="1928">
        <v>20</v>
      </c>
      <c r="O765" s="1974">
        <f t="shared" si="17"/>
        <v>5.1664599999999998</v>
      </c>
      <c r="P765" s="1971">
        <f t="shared" si="18"/>
        <v>5760.6028999999999</v>
      </c>
      <c r="Q765" s="1971">
        <f t="shared" si="19"/>
        <v>6876</v>
      </c>
      <c r="R765" s="1971">
        <f t="shared" si="20"/>
        <v>7699.52</v>
      </c>
      <c r="S765" s="1928"/>
      <c r="T765" s="1928"/>
    </row>
    <row r="766" spans="4:20" x14ac:dyDescent="0.2">
      <c r="D766" s="1967">
        <f t="shared" si="14"/>
        <v>32</v>
      </c>
      <c r="E766" s="129" t="s">
        <v>441</v>
      </c>
      <c r="G766" s="980">
        <f t="shared" si="15"/>
        <v>7911.09</v>
      </c>
      <c r="H766" s="295">
        <f t="shared" si="21"/>
        <v>153.156305</v>
      </c>
      <c r="I766" s="980">
        <f t="shared" si="16"/>
        <v>19729.429888333332</v>
      </c>
      <c r="K766" s="1928">
        <f t="shared" si="12"/>
        <v>32</v>
      </c>
      <c r="L766" s="1928">
        <v>22.52</v>
      </c>
      <c r="M766" s="1928">
        <f t="shared" si="13"/>
        <v>15.809999999999995</v>
      </c>
      <c r="N766" s="1928">
        <v>21</v>
      </c>
      <c r="O766" s="1974">
        <f t="shared" si="17"/>
        <v>5.3331200000000001</v>
      </c>
      <c r="P766" s="1971">
        <f t="shared" si="18"/>
        <v>5946.4287999999997</v>
      </c>
      <c r="Q766" s="1971">
        <f t="shared" si="19"/>
        <v>7061</v>
      </c>
      <c r="R766" s="1971">
        <f t="shared" si="20"/>
        <v>7911.09</v>
      </c>
      <c r="S766" s="1928"/>
      <c r="T766" s="1928"/>
    </row>
    <row r="767" spans="4:20" x14ac:dyDescent="0.2">
      <c r="D767" s="1967">
        <f t="shared" si="14"/>
        <v>34</v>
      </c>
      <c r="E767" s="129" t="s">
        <v>442</v>
      </c>
      <c r="G767" s="980">
        <f t="shared" si="15"/>
        <v>8336.2199999999993</v>
      </c>
      <c r="H767" s="295">
        <f t="shared" si="21"/>
        <v>153.156305</v>
      </c>
      <c r="I767" s="980">
        <f t="shared" si="16"/>
        <v>20154.55988833333</v>
      </c>
      <c r="K767" s="1928">
        <f t="shared" si="12"/>
        <v>34</v>
      </c>
      <c r="L767" s="1928">
        <v>23.74</v>
      </c>
      <c r="M767" s="1928">
        <f t="shared" si="13"/>
        <v>16.419999999999995</v>
      </c>
      <c r="N767" s="1928">
        <v>22</v>
      </c>
      <c r="O767" s="1974">
        <f t="shared" si="17"/>
        <v>5.6664399999999997</v>
      </c>
      <c r="P767" s="1971">
        <f t="shared" si="18"/>
        <v>6318.0805999999993</v>
      </c>
      <c r="Q767" s="1971">
        <f t="shared" si="19"/>
        <v>7433</v>
      </c>
      <c r="R767" s="1971">
        <f t="shared" si="20"/>
        <v>8336.2199999999993</v>
      </c>
      <c r="S767" s="1928"/>
      <c r="T767" s="1928"/>
    </row>
    <row r="768" spans="4:20" x14ac:dyDescent="0.2">
      <c r="D768" s="1967">
        <f t="shared" si="14"/>
        <v>36</v>
      </c>
      <c r="E768" s="129" t="s">
        <v>443</v>
      </c>
      <c r="G768" s="980">
        <f t="shared" si="15"/>
        <v>8761.35</v>
      </c>
      <c r="H768" s="295">
        <f t="shared" si="21"/>
        <v>153.156305</v>
      </c>
      <c r="I768" s="980">
        <f>+H768+G768+$I$744</f>
        <v>20579.689888333334</v>
      </c>
      <c r="K768" s="1928">
        <f t="shared" si="12"/>
        <v>36</v>
      </c>
      <c r="L768" s="1928">
        <v>24.96</v>
      </c>
      <c r="M768" s="1928">
        <f t="shared" si="13"/>
        <v>17.029999999999994</v>
      </c>
      <c r="N768" s="1928">
        <v>23</v>
      </c>
      <c r="O768" s="1974">
        <f t="shared" si="17"/>
        <v>5.9997600000000002</v>
      </c>
      <c r="P768" s="1971">
        <f t="shared" si="18"/>
        <v>6689.7323999999999</v>
      </c>
      <c r="Q768" s="1971">
        <f t="shared" si="19"/>
        <v>7805</v>
      </c>
      <c r="R768" s="1971">
        <f t="shared" si="20"/>
        <v>8761.35</v>
      </c>
      <c r="S768" s="1928"/>
      <c r="T768" s="1928"/>
    </row>
    <row r="769" spans="3:20" x14ac:dyDescent="0.2">
      <c r="G769" s="980"/>
      <c r="H769" s="295"/>
      <c r="I769" s="295"/>
      <c r="K769" s="1928"/>
      <c r="L769" s="1928"/>
      <c r="M769" s="1928">
        <f t="shared" si="13"/>
        <v>17.639999999999993</v>
      </c>
      <c r="N769" s="1928">
        <v>24</v>
      </c>
      <c r="O769" s="1928"/>
      <c r="P769" s="1928"/>
      <c r="Q769" s="1928"/>
      <c r="R769" s="1928"/>
      <c r="S769" s="1928"/>
      <c r="T769" s="1928"/>
    </row>
    <row r="770" spans="3:20" ht="25.9" customHeight="1" x14ac:dyDescent="0.2">
      <c r="C770" s="2058" t="s">
        <v>1280</v>
      </c>
      <c r="D770" s="2058"/>
      <c r="E770" s="2058"/>
      <c r="F770" s="2058"/>
      <c r="G770" s="2058"/>
      <c r="H770" s="2058"/>
      <c r="I770" s="2058"/>
      <c r="K770" s="1928"/>
      <c r="L770" s="1928"/>
      <c r="M770" s="1928">
        <f>M769+$N$745</f>
        <v>18.249999999999993</v>
      </c>
      <c r="N770" s="1928">
        <v>25</v>
      </c>
      <c r="O770" s="1928"/>
      <c r="P770" s="1928"/>
      <c r="Q770" s="1928"/>
      <c r="R770" s="1928"/>
      <c r="S770" s="1928"/>
      <c r="T770" s="1928"/>
    </row>
    <row r="771" spans="3:20" x14ac:dyDescent="0.2">
      <c r="C771" s="1088"/>
      <c r="D771" s="1088"/>
      <c r="E771" s="1088"/>
      <c r="F771" s="1089">
        <f>RAM!E166</f>
        <v>0.4</v>
      </c>
      <c r="G771" s="1090"/>
      <c r="H771" s="1088"/>
      <c r="I771" s="1088"/>
      <c r="K771" s="1928"/>
      <c r="L771" s="1928"/>
      <c r="M771" s="1928">
        <f t="shared" si="13"/>
        <v>18.859999999999992</v>
      </c>
      <c r="N771" s="1928">
        <v>26</v>
      </c>
      <c r="O771" s="1928"/>
      <c r="P771" s="1928"/>
      <c r="Q771" s="1928"/>
      <c r="R771" s="1928"/>
      <c r="S771" s="1928"/>
      <c r="T771" s="1928"/>
    </row>
    <row r="772" spans="3:20" x14ac:dyDescent="0.2">
      <c r="C772" s="295">
        <v>1</v>
      </c>
      <c r="D772" s="129" t="s">
        <v>20</v>
      </c>
      <c r="E772" s="129" t="s">
        <v>1221</v>
      </c>
      <c r="F772" s="1091">
        <f>F740</f>
        <v>8709.2999999999993</v>
      </c>
      <c r="G772" s="129">
        <v>1</v>
      </c>
      <c r="H772" s="129" t="s">
        <v>20</v>
      </c>
      <c r="I772" s="295">
        <f>+F772*C772</f>
        <v>8709.2999999999993</v>
      </c>
      <c r="K772" s="1928"/>
      <c r="L772" s="1928"/>
      <c r="M772" s="1928">
        <f t="shared" si="13"/>
        <v>19.469999999999992</v>
      </c>
      <c r="N772" s="1928">
        <v>27</v>
      </c>
      <c r="O772" s="1928"/>
      <c r="P772" s="1928"/>
      <c r="Q772" s="1928"/>
      <c r="R772" s="1928"/>
      <c r="S772" s="1928"/>
      <c r="T772" s="1928"/>
    </row>
    <row r="773" spans="3:20" x14ac:dyDescent="0.2">
      <c r="C773" s="980">
        <f>(1/F771)*1</f>
        <v>2.5</v>
      </c>
      <c r="D773" s="129" t="s">
        <v>1087</v>
      </c>
      <c r="E773" s="129" t="s">
        <v>1086</v>
      </c>
      <c r="F773" s="960">
        <f>SSR!$E$35</f>
        <v>1115</v>
      </c>
      <c r="G773" s="129">
        <v>1</v>
      </c>
      <c r="H773" s="129" t="s">
        <v>1087</v>
      </c>
      <c r="I773" s="295">
        <f>+F773*C773</f>
        <v>2787.5</v>
      </c>
      <c r="K773" s="1928"/>
      <c r="L773" s="1928"/>
      <c r="M773" s="1928">
        <f t="shared" si="13"/>
        <v>20.079999999999991</v>
      </c>
      <c r="N773" s="1928">
        <v>28</v>
      </c>
      <c r="O773" s="1928"/>
      <c r="P773" s="1928"/>
      <c r="Q773" s="1928"/>
      <c r="R773" s="1928"/>
      <c r="S773" s="1928"/>
      <c r="T773" s="1928"/>
    </row>
    <row r="774" spans="3:20" x14ac:dyDescent="0.2">
      <c r="C774" s="295"/>
      <c r="E774" s="129" t="str">
        <f>+IF($I$4=0%,"---","Municipal allowance")</f>
        <v>Municipal allowance</v>
      </c>
      <c r="F774" s="928">
        <f>$I$4</f>
        <v>0.2</v>
      </c>
      <c r="I774" s="295">
        <f>I773*0.25*F774</f>
        <v>139.375</v>
      </c>
      <c r="K774" s="1928"/>
      <c r="L774" s="1928"/>
      <c r="M774" s="1928">
        <f t="shared" si="13"/>
        <v>20.689999999999991</v>
      </c>
      <c r="N774" s="1928">
        <v>29</v>
      </c>
      <c r="O774" s="1928"/>
      <c r="P774" s="1928"/>
      <c r="Q774" s="1928"/>
      <c r="R774" s="1928"/>
      <c r="S774" s="1928"/>
      <c r="T774" s="1928"/>
    </row>
    <row r="775" spans="3:20" ht="13.5" thickBot="1" x14ac:dyDescent="0.25">
      <c r="C775" s="295"/>
      <c r="E775" s="129" t="s">
        <v>2102</v>
      </c>
      <c r="F775" s="1940">
        <f>+$I$5</f>
        <v>0.13614999999999999</v>
      </c>
      <c r="I775" s="149">
        <f>(I773+I774)*F775</f>
        <v>398.49403124999998</v>
      </c>
      <c r="K775" s="1928"/>
      <c r="L775" s="1928"/>
      <c r="M775" s="1928">
        <f t="shared" si="13"/>
        <v>21.29999999999999</v>
      </c>
      <c r="N775" s="1928">
        <v>30</v>
      </c>
      <c r="O775" s="1928"/>
      <c r="P775" s="1928"/>
      <c r="Q775" s="1928"/>
      <c r="R775" s="1928"/>
      <c r="S775" s="1928"/>
      <c r="T775" s="1928"/>
    </row>
    <row r="776" spans="3:20" ht="13.5" thickBot="1" x14ac:dyDescent="0.25">
      <c r="D776" s="526" t="s">
        <v>1274</v>
      </c>
      <c r="E776" s="129" t="s">
        <v>420</v>
      </c>
      <c r="H776" s="129" t="s">
        <v>23</v>
      </c>
      <c r="I776" s="939">
        <f>SUM(I772:I775)</f>
        <v>12034.66903125</v>
      </c>
      <c r="K776" s="1928"/>
      <c r="L776" s="1928"/>
      <c r="M776" s="1928">
        <f t="shared" si="13"/>
        <v>21.909999999999989</v>
      </c>
      <c r="N776" s="1928">
        <v>31</v>
      </c>
      <c r="O776" s="1928"/>
      <c r="P776" s="1928"/>
      <c r="Q776" s="1928"/>
      <c r="R776" s="1928"/>
      <c r="S776" s="1928"/>
      <c r="T776" s="1928"/>
    </row>
    <row r="777" spans="3:20" x14ac:dyDescent="0.2">
      <c r="D777" s="1975">
        <v>1</v>
      </c>
      <c r="E777" s="129" t="s">
        <v>1281</v>
      </c>
      <c r="F777" s="417"/>
      <c r="G777" s="980">
        <v>3277.8</v>
      </c>
      <c r="H777" s="295">
        <f>H747</f>
        <v>153.156305</v>
      </c>
      <c r="I777" s="980">
        <f>$I$776+G777+H777</f>
        <v>15465.625336249999</v>
      </c>
      <c r="J777" s="129">
        <f>G777*2.5/2.22</f>
        <v>3691.2162162162158</v>
      </c>
      <c r="K777" s="1928"/>
      <c r="L777" s="1928"/>
      <c r="M777" s="1928">
        <f t="shared" si="13"/>
        <v>22.519999999999989</v>
      </c>
      <c r="N777" s="1928">
        <v>32</v>
      </c>
      <c r="O777" s="1928"/>
      <c r="P777" s="1928"/>
      <c r="Q777" s="1928"/>
      <c r="R777" s="1928"/>
      <c r="S777" s="1928"/>
      <c r="T777" s="1928"/>
    </row>
    <row r="778" spans="3:20" x14ac:dyDescent="0.2">
      <c r="C778" s="295"/>
      <c r="D778" s="1975">
        <v>3</v>
      </c>
      <c r="E778" s="129" t="s">
        <v>423</v>
      </c>
      <c r="F778" s="1034"/>
      <c r="G778" s="980">
        <v>1747.9</v>
      </c>
      <c r="H778" s="295">
        <f t="shared" ref="H778:H798" si="22">H748</f>
        <v>153.156305</v>
      </c>
      <c r="I778" s="980">
        <f t="shared" ref="I778:I798" si="23">$I$776+G778+H778</f>
        <v>13935.72533625</v>
      </c>
      <c r="K778" s="1928"/>
      <c r="L778" s="1928"/>
      <c r="M778" s="1928">
        <f t="shared" si="13"/>
        <v>23.129999999999988</v>
      </c>
      <c r="N778" s="1928">
        <v>33</v>
      </c>
      <c r="O778" s="1928"/>
      <c r="P778" s="1928"/>
      <c r="Q778" s="1928"/>
      <c r="R778" s="1928"/>
      <c r="S778" s="1928"/>
      <c r="T778" s="1928"/>
    </row>
    <row r="779" spans="3:20" x14ac:dyDescent="0.2">
      <c r="D779" s="1975">
        <v>4</v>
      </c>
      <c r="E779" s="129" t="s">
        <v>424</v>
      </c>
      <c r="F779" s="324"/>
      <c r="G779" s="980">
        <v>1959.2</v>
      </c>
      <c r="H779" s="295">
        <f t="shared" si="22"/>
        <v>153.156305</v>
      </c>
      <c r="I779" s="980">
        <f t="shared" si="23"/>
        <v>14147.025336250001</v>
      </c>
      <c r="K779" s="1928"/>
      <c r="L779" s="1928"/>
      <c r="M779" s="1928">
        <f t="shared" si="13"/>
        <v>23.739999999999988</v>
      </c>
      <c r="N779" s="1928">
        <v>34</v>
      </c>
      <c r="O779" s="1928"/>
      <c r="P779" s="1928"/>
      <c r="Q779" s="1928"/>
      <c r="R779" s="1928"/>
      <c r="S779" s="1928"/>
      <c r="T779" s="1928"/>
    </row>
    <row r="780" spans="3:20" x14ac:dyDescent="0.2">
      <c r="D780" s="1975">
        <v>5</v>
      </c>
      <c r="E780" s="129" t="s">
        <v>425</v>
      </c>
      <c r="F780" s="324"/>
      <c r="G780" s="980">
        <v>2170.5</v>
      </c>
      <c r="H780" s="295">
        <f t="shared" si="22"/>
        <v>153.156305</v>
      </c>
      <c r="I780" s="980">
        <f t="shared" si="23"/>
        <v>14358.32533625</v>
      </c>
      <c r="K780" s="1928"/>
      <c r="L780" s="1928"/>
      <c r="M780" s="1928">
        <f t="shared" si="13"/>
        <v>24.349999999999987</v>
      </c>
      <c r="N780" s="1928">
        <v>35</v>
      </c>
      <c r="O780" s="1928"/>
      <c r="P780" s="1928"/>
      <c r="Q780" s="1928"/>
      <c r="R780" s="1928"/>
      <c r="S780" s="1928"/>
      <c r="T780" s="1928"/>
    </row>
    <row r="781" spans="3:20" x14ac:dyDescent="0.2">
      <c r="D781" s="1975">
        <v>7</v>
      </c>
      <c r="E781" s="129" t="s">
        <v>426</v>
      </c>
      <c r="F781" s="324"/>
      <c r="G781" s="980">
        <v>2593.1</v>
      </c>
      <c r="H781" s="295">
        <f t="shared" si="22"/>
        <v>153.156305</v>
      </c>
      <c r="I781" s="980">
        <f t="shared" si="23"/>
        <v>14780.92533625</v>
      </c>
      <c r="K781" s="1928"/>
      <c r="L781" s="1928"/>
      <c r="M781" s="1928">
        <f t="shared" si="13"/>
        <v>24.959999999999987</v>
      </c>
      <c r="N781" s="1928">
        <v>36</v>
      </c>
      <c r="O781" s="1928"/>
      <c r="P781" s="1928"/>
      <c r="Q781" s="1928"/>
      <c r="R781" s="1928"/>
      <c r="S781" s="1928"/>
      <c r="T781" s="1928"/>
    </row>
    <row r="782" spans="3:20" x14ac:dyDescent="0.2">
      <c r="D782" s="1975">
        <v>8</v>
      </c>
      <c r="E782" s="129" t="s">
        <v>1276</v>
      </c>
      <c r="F782" s="324"/>
      <c r="G782" s="980">
        <v>2804.4</v>
      </c>
      <c r="H782" s="295">
        <f t="shared" si="22"/>
        <v>153.156305</v>
      </c>
      <c r="I782" s="980">
        <f t="shared" si="23"/>
        <v>14992.22533625</v>
      </c>
    </row>
    <row r="783" spans="3:20" x14ac:dyDescent="0.2">
      <c r="D783" s="1975">
        <v>11</v>
      </c>
      <c r="E783" s="129" t="s">
        <v>1277</v>
      </c>
      <c r="F783" s="324"/>
      <c r="G783" s="980">
        <v>3437.3</v>
      </c>
      <c r="H783" s="295">
        <f t="shared" si="22"/>
        <v>153.156305</v>
      </c>
      <c r="I783" s="980">
        <f t="shared" si="23"/>
        <v>15625.125336249999</v>
      </c>
    </row>
    <row r="784" spans="3:20" x14ac:dyDescent="0.2">
      <c r="D784" s="1975">
        <v>13</v>
      </c>
      <c r="E784" s="129" t="s">
        <v>1278</v>
      </c>
      <c r="F784" s="324"/>
      <c r="G784" s="980">
        <v>3859.9</v>
      </c>
      <c r="H784" s="295">
        <f t="shared" si="22"/>
        <v>153.156305</v>
      </c>
      <c r="I784" s="980">
        <f t="shared" si="23"/>
        <v>16047.72533625</v>
      </c>
    </row>
    <row r="785" spans="3:9" x14ac:dyDescent="0.2">
      <c r="D785" s="1975">
        <v>14</v>
      </c>
      <c r="E785" s="129" t="s">
        <v>1279</v>
      </c>
      <c r="F785" s="324"/>
      <c r="G785" s="980">
        <v>4071.2</v>
      </c>
      <c r="H785" s="295">
        <f t="shared" si="22"/>
        <v>153.156305</v>
      </c>
      <c r="I785" s="980">
        <f t="shared" si="23"/>
        <v>16259.025336250001</v>
      </c>
    </row>
    <row r="786" spans="3:9" x14ac:dyDescent="0.2">
      <c r="D786" s="1975">
        <v>16</v>
      </c>
      <c r="E786" s="129" t="s">
        <v>431</v>
      </c>
      <c r="F786" s="324"/>
      <c r="G786" s="980">
        <v>4492.8</v>
      </c>
      <c r="H786" s="295">
        <f t="shared" si="22"/>
        <v>153.156305</v>
      </c>
      <c r="I786" s="980">
        <f t="shared" si="23"/>
        <v>16680.625336249999</v>
      </c>
    </row>
    <row r="787" spans="3:9" x14ac:dyDescent="0.2">
      <c r="D787" s="1975">
        <v>18</v>
      </c>
      <c r="E787" s="129" t="s">
        <v>432</v>
      </c>
      <c r="F787" s="324"/>
      <c r="G787" s="980">
        <v>4915.3999999999996</v>
      </c>
      <c r="H787" s="295">
        <f t="shared" si="22"/>
        <v>153.156305</v>
      </c>
      <c r="I787" s="980">
        <f t="shared" si="23"/>
        <v>17103.225336250001</v>
      </c>
    </row>
    <row r="788" spans="3:9" x14ac:dyDescent="0.2">
      <c r="D788" s="1975">
        <v>19</v>
      </c>
      <c r="E788" s="129" t="s">
        <v>433</v>
      </c>
      <c r="F788" s="324"/>
      <c r="G788" s="980">
        <v>5126.7</v>
      </c>
      <c r="H788" s="295">
        <f t="shared" si="22"/>
        <v>153.156305</v>
      </c>
      <c r="I788" s="980">
        <f t="shared" si="23"/>
        <v>17314.525336250001</v>
      </c>
    </row>
    <row r="789" spans="3:9" x14ac:dyDescent="0.2">
      <c r="D789" s="1975">
        <v>21</v>
      </c>
      <c r="E789" s="129" t="s">
        <v>434</v>
      </c>
      <c r="F789" s="324"/>
      <c r="G789" s="980">
        <v>5548.3</v>
      </c>
      <c r="H789" s="295">
        <f t="shared" si="22"/>
        <v>153.156305</v>
      </c>
      <c r="I789" s="980">
        <f t="shared" si="23"/>
        <v>17736.125336249999</v>
      </c>
    </row>
    <row r="790" spans="3:9" x14ac:dyDescent="0.2">
      <c r="D790" s="1975">
        <v>22</v>
      </c>
      <c r="E790" s="129" t="s">
        <v>435</v>
      </c>
      <c r="F790" s="324"/>
      <c r="G790" s="980">
        <v>5759.6</v>
      </c>
      <c r="H790" s="295">
        <f t="shared" si="22"/>
        <v>153.156305</v>
      </c>
      <c r="I790" s="980">
        <f t="shared" si="23"/>
        <v>17947.425336249999</v>
      </c>
    </row>
    <row r="791" spans="3:9" x14ac:dyDescent="0.2">
      <c r="D791" s="1975">
        <v>24</v>
      </c>
      <c r="E791" s="129" t="s">
        <v>436</v>
      </c>
      <c r="F791" s="324"/>
      <c r="G791" s="980">
        <v>6182.2</v>
      </c>
      <c r="H791" s="295">
        <f t="shared" si="22"/>
        <v>153.156305</v>
      </c>
      <c r="I791" s="980">
        <f t="shared" si="23"/>
        <v>18370.025336250001</v>
      </c>
    </row>
    <row r="792" spans="3:9" x14ac:dyDescent="0.2">
      <c r="D792" s="1975">
        <v>26</v>
      </c>
      <c r="E792" s="129" t="s">
        <v>437</v>
      </c>
      <c r="F792" s="324"/>
      <c r="G792" s="980">
        <v>6603.81</v>
      </c>
      <c r="H792" s="295">
        <f t="shared" si="22"/>
        <v>153.156305</v>
      </c>
      <c r="I792" s="980">
        <f t="shared" si="23"/>
        <v>18791.635336250001</v>
      </c>
    </row>
    <row r="793" spans="3:9" x14ac:dyDescent="0.2">
      <c r="D793" s="1975">
        <v>27</v>
      </c>
      <c r="E793" s="129" t="s">
        <v>438</v>
      </c>
      <c r="F793" s="324"/>
      <c r="G793" s="980">
        <v>6815.11</v>
      </c>
      <c r="H793" s="295">
        <f t="shared" si="22"/>
        <v>153.156305</v>
      </c>
      <c r="I793" s="980">
        <f t="shared" si="23"/>
        <v>19002.935336250001</v>
      </c>
    </row>
    <row r="794" spans="3:9" x14ac:dyDescent="0.2">
      <c r="D794" s="1975">
        <v>29</v>
      </c>
      <c r="E794" s="129" t="s">
        <v>439</v>
      </c>
      <c r="F794" s="324"/>
      <c r="G794" s="980">
        <v>7237.71</v>
      </c>
      <c r="H794" s="295">
        <f t="shared" si="22"/>
        <v>153.156305</v>
      </c>
      <c r="I794" s="980">
        <f t="shared" si="23"/>
        <v>19425.535336249999</v>
      </c>
    </row>
    <row r="795" spans="3:9" x14ac:dyDescent="0.2">
      <c r="D795" s="1975">
        <v>31</v>
      </c>
      <c r="E795" s="129" t="s">
        <v>440</v>
      </c>
      <c r="F795" s="324"/>
      <c r="G795" s="980">
        <v>7660.31</v>
      </c>
      <c r="H795" s="295">
        <f t="shared" si="22"/>
        <v>153.156305</v>
      </c>
      <c r="I795" s="980">
        <f t="shared" si="23"/>
        <v>19848.135336250001</v>
      </c>
    </row>
    <row r="796" spans="3:9" x14ac:dyDescent="0.2">
      <c r="D796" s="1975">
        <v>32</v>
      </c>
      <c r="E796" s="129" t="s">
        <v>441</v>
      </c>
      <c r="F796" s="324"/>
      <c r="G796" s="980">
        <v>7870.61</v>
      </c>
      <c r="H796" s="295">
        <f t="shared" si="22"/>
        <v>153.156305</v>
      </c>
      <c r="I796" s="980">
        <f t="shared" si="23"/>
        <v>20058.435336250001</v>
      </c>
    </row>
    <row r="797" spans="3:9" x14ac:dyDescent="0.2">
      <c r="D797" s="1975">
        <v>34</v>
      </c>
      <c r="E797" s="129" t="s">
        <v>442</v>
      </c>
      <c r="F797" s="324"/>
      <c r="G797" s="980">
        <v>8293.2099999999991</v>
      </c>
      <c r="H797" s="295">
        <f t="shared" si="22"/>
        <v>153.156305</v>
      </c>
      <c r="I797" s="980">
        <f t="shared" si="23"/>
        <v>20481.035336249999</v>
      </c>
    </row>
    <row r="798" spans="3:9" x14ac:dyDescent="0.2">
      <c r="D798" s="1975">
        <v>36</v>
      </c>
      <c r="E798" s="129" t="s">
        <v>443</v>
      </c>
      <c r="F798" s="324"/>
      <c r="G798" s="980">
        <v>8715.81</v>
      </c>
      <c r="H798" s="295">
        <f t="shared" si="22"/>
        <v>153.156305</v>
      </c>
      <c r="I798" s="980">
        <f t="shared" si="23"/>
        <v>20903.635336249998</v>
      </c>
    </row>
    <row r="799" spans="3:9" x14ac:dyDescent="0.2">
      <c r="F799" s="324"/>
      <c r="G799" s="980"/>
      <c r="H799" s="295"/>
      <c r="I799" s="980"/>
    </row>
    <row r="800" spans="3:9" ht="25.9" customHeight="1" x14ac:dyDescent="0.2">
      <c r="C800" s="2058" t="s">
        <v>1280</v>
      </c>
      <c r="D800" s="2058"/>
      <c r="E800" s="2058"/>
      <c r="F800" s="2058"/>
      <c r="G800" s="2058"/>
      <c r="H800" s="2058"/>
      <c r="I800" s="2058"/>
    </row>
    <row r="801" spans="3:9" x14ac:dyDescent="0.2">
      <c r="D801" s="1085">
        <f>RAM!E167</f>
        <v>0.35</v>
      </c>
      <c r="E801" s="139"/>
      <c r="G801" s="552"/>
      <c r="H801" s="295"/>
    </row>
    <row r="802" spans="3:9" x14ac:dyDescent="0.2">
      <c r="C802" s="526">
        <v>1</v>
      </c>
      <c r="D802" s="129" t="s">
        <v>20</v>
      </c>
      <c r="E802" s="129" t="s">
        <v>1283</v>
      </c>
      <c r="H802" s="295"/>
      <c r="I802" s="970">
        <f>F772</f>
        <v>8709.2999999999993</v>
      </c>
    </row>
    <row r="803" spans="3:9" x14ac:dyDescent="0.2">
      <c r="C803" s="295">
        <f>1/D801*1</f>
        <v>2.8571428571428572</v>
      </c>
      <c r="D803" s="129" t="s">
        <v>1087</v>
      </c>
      <c r="E803" s="130" t="s">
        <v>1284</v>
      </c>
      <c r="F803" s="1079">
        <f>SSR!$E$35</f>
        <v>1115</v>
      </c>
      <c r="H803" s="1093"/>
      <c r="I803" s="295">
        <f>C803*F803</f>
        <v>3185.7142857142858</v>
      </c>
    </row>
    <row r="804" spans="3:9" x14ac:dyDescent="0.2">
      <c r="C804" s="295"/>
      <c r="E804" s="130" t="str">
        <f>E774</f>
        <v>Municipal allowance</v>
      </c>
      <c r="F804" s="928">
        <f>F774</f>
        <v>0.2</v>
      </c>
      <c r="H804" s="1093"/>
      <c r="I804" s="295">
        <f>I803*0.25*F804</f>
        <v>159.28571428571431</v>
      </c>
    </row>
    <row r="805" spans="3:9" ht="13.5" thickBot="1" x14ac:dyDescent="0.25">
      <c r="C805" s="295"/>
      <c r="E805" s="130" t="str">
        <f>E775</f>
        <v>Overheads &amp; cp</v>
      </c>
      <c r="F805" s="1940">
        <f>F775</f>
        <v>0.13614999999999999</v>
      </c>
      <c r="H805" s="1093"/>
      <c r="I805" s="149">
        <f>(I803+I804)*F805</f>
        <v>455.42174999999997</v>
      </c>
    </row>
    <row r="806" spans="3:9" ht="13.5" thickBot="1" x14ac:dyDescent="0.25">
      <c r="C806" s="295"/>
      <c r="E806" s="1094" t="s">
        <v>1285</v>
      </c>
      <c r="F806" s="931"/>
      <c r="H806" s="1093"/>
      <c r="I806" s="939">
        <f>SUM(I802:I805)</f>
        <v>12509.721749999999</v>
      </c>
    </row>
    <row r="807" spans="3:9" x14ac:dyDescent="0.2">
      <c r="C807" s="139" t="s">
        <v>1275</v>
      </c>
      <c r="E807" s="129" t="s">
        <v>422</v>
      </c>
      <c r="F807" s="1092">
        <f>SSR!$E$7</f>
        <v>134</v>
      </c>
      <c r="G807" s="980">
        <v>3742.44</v>
      </c>
      <c r="H807" s="295">
        <f>+($F$742*($F$747*0.25)+$F$747)*$F$743+F807</f>
        <v>153.156305</v>
      </c>
      <c r="I807" s="980">
        <f>$I$806+G807+H807</f>
        <v>16405.318055</v>
      </c>
    </row>
    <row r="808" spans="3:9" x14ac:dyDescent="0.2">
      <c r="E808" s="129" t="s">
        <v>423</v>
      </c>
      <c r="F808" s="140"/>
      <c r="G808" s="980">
        <v>1747.9</v>
      </c>
      <c r="H808" s="295">
        <f>H807</f>
        <v>153.156305</v>
      </c>
      <c r="I808" s="980">
        <f t="shared" ref="I808:I828" si="24">$I$806+G808+H808</f>
        <v>14410.778054999999</v>
      </c>
    </row>
    <row r="809" spans="3:9" x14ac:dyDescent="0.2">
      <c r="E809" s="129" t="s">
        <v>424</v>
      </c>
      <c r="G809" s="980">
        <v>1959.2</v>
      </c>
      <c r="H809" s="295">
        <f>H808</f>
        <v>153.156305</v>
      </c>
      <c r="I809" s="980">
        <f t="shared" si="24"/>
        <v>14622.078055</v>
      </c>
    </row>
    <row r="810" spans="3:9" x14ac:dyDescent="0.2">
      <c r="E810" s="129" t="s">
        <v>425</v>
      </c>
      <c r="G810" s="980">
        <v>2170.5</v>
      </c>
      <c r="H810" s="295">
        <f t="shared" ref="H810:H828" si="25">H809</f>
        <v>153.156305</v>
      </c>
      <c r="I810" s="980">
        <f t="shared" si="24"/>
        <v>14833.378054999999</v>
      </c>
    </row>
    <row r="811" spans="3:9" x14ac:dyDescent="0.2">
      <c r="E811" s="129" t="s">
        <v>426</v>
      </c>
      <c r="G811" s="980">
        <v>2593.1</v>
      </c>
      <c r="H811" s="295">
        <f t="shared" si="25"/>
        <v>153.156305</v>
      </c>
      <c r="I811" s="980">
        <f t="shared" si="24"/>
        <v>15255.978055</v>
      </c>
    </row>
    <row r="812" spans="3:9" x14ac:dyDescent="0.2">
      <c r="E812" s="129" t="s">
        <v>1276</v>
      </c>
      <c r="G812" s="980">
        <v>2804.4</v>
      </c>
      <c r="H812" s="295">
        <f t="shared" si="25"/>
        <v>153.156305</v>
      </c>
      <c r="I812" s="980">
        <f t="shared" si="24"/>
        <v>15467.278054999999</v>
      </c>
    </row>
    <row r="813" spans="3:9" x14ac:dyDescent="0.2">
      <c r="E813" s="129" t="s">
        <v>1277</v>
      </c>
      <c r="G813" s="980">
        <v>3437.3</v>
      </c>
      <c r="H813" s="295">
        <f t="shared" si="25"/>
        <v>153.156305</v>
      </c>
      <c r="I813" s="980">
        <f t="shared" si="24"/>
        <v>16100.178055</v>
      </c>
    </row>
    <row r="814" spans="3:9" x14ac:dyDescent="0.2">
      <c r="E814" s="129" t="s">
        <v>1278</v>
      </c>
      <c r="G814" s="980">
        <v>3859.9</v>
      </c>
      <c r="H814" s="295">
        <f t="shared" si="25"/>
        <v>153.156305</v>
      </c>
      <c r="I814" s="980">
        <f t="shared" si="24"/>
        <v>16522.778054999999</v>
      </c>
    </row>
    <row r="815" spans="3:9" x14ac:dyDescent="0.2">
      <c r="E815" s="129" t="s">
        <v>1279</v>
      </c>
      <c r="G815" s="980">
        <v>4071.2</v>
      </c>
      <c r="H815" s="295">
        <f t="shared" si="25"/>
        <v>153.156305</v>
      </c>
      <c r="I815" s="980">
        <f t="shared" si="24"/>
        <v>16734.078054999998</v>
      </c>
    </row>
    <row r="816" spans="3:9" x14ac:dyDescent="0.2">
      <c r="E816" s="129" t="s">
        <v>431</v>
      </c>
      <c r="G816" s="980">
        <v>4492.8</v>
      </c>
      <c r="H816" s="295">
        <f t="shared" si="25"/>
        <v>153.156305</v>
      </c>
      <c r="I816" s="980">
        <f t="shared" si="24"/>
        <v>17155.678055</v>
      </c>
    </row>
    <row r="817" spans="3:9" x14ac:dyDescent="0.2">
      <c r="E817" s="129" t="s">
        <v>432</v>
      </c>
      <c r="G817" s="980">
        <v>4915.3999999999996</v>
      </c>
      <c r="H817" s="295">
        <f t="shared" si="25"/>
        <v>153.156305</v>
      </c>
      <c r="I817" s="980">
        <f t="shared" si="24"/>
        <v>17578.278054999999</v>
      </c>
    </row>
    <row r="818" spans="3:9" x14ac:dyDescent="0.2">
      <c r="E818" s="129" t="s">
        <v>433</v>
      </c>
      <c r="G818" s="980">
        <v>5126.7</v>
      </c>
      <c r="H818" s="295">
        <f t="shared" si="25"/>
        <v>153.156305</v>
      </c>
      <c r="I818" s="980">
        <f t="shared" si="24"/>
        <v>17789.578054999998</v>
      </c>
    </row>
    <row r="819" spans="3:9" x14ac:dyDescent="0.2">
      <c r="E819" s="129" t="s">
        <v>434</v>
      </c>
      <c r="G819" s="980">
        <v>5548.3</v>
      </c>
      <c r="H819" s="295">
        <f t="shared" si="25"/>
        <v>153.156305</v>
      </c>
      <c r="I819" s="980">
        <f t="shared" si="24"/>
        <v>18211.178055</v>
      </c>
    </row>
    <row r="820" spans="3:9" x14ac:dyDescent="0.2">
      <c r="E820" s="129" t="s">
        <v>435</v>
      </c>
      <c r="G820" s="980">
        <v>5759.6</v>
      </c>
      <c r="H820" s="295">
        <f t="shared" si="25"/>
        <v>153.156305</v>
      </c>
      <c r="I820" s="980">
        <f t="shared" si="24"/>
        <v>18422.478055</v>
      </c>
    </row>
    <row r="821" spans="3:9" x14ac:dyDescent="0.2">
      <c r="E821" s="129" t="s">
        <v>436</v>
      </c>
      <c r="G821" s="980">
        <v>6182.2</v>
      </c>
      <c r="H821" s="295">
        <f t="shared" si="25"/>
        <v>153.156305</v>
      </c>
      <c r="I821" s="980">
        <f t="shared" si="24"/>
        <v>18845.078054999998</v>
      </c>
    </row>
    <row r="822" spans="3:9" x14ac:dyDescent="0.2">
      <c r="E822" s="129" t="s">
        <v>437</v>
      </c>
      <c r="G822" s="980">
        <v>6603.81</v>
      </c>
      <c r="H822" s="295">
        <f t="shared" si="25"/>
        <v>153.156305</v>
      </c>
      <c r="I822" s="980">
        <f t="shared" si="24"/>
        <v>19266.688054999999</v>
      </c>
    </row>
    <row r="823" spans="3:9" x14ac:dyDescent="0.2">
      <c r="E823" s="129" t="s">
        <v>438</v>
      </c>
      <c r="G823" s="980">
        <v>6815.11</v>
      </c>
      <c r="H823" s="295">
        <f t="shared" si="25"/>
        <v>153.156305</v>
      </c>
      <c r="I823" s="980">
        <f t="shared" si="24"/>
        <v>19477.988054999998</v>
      </c>
    </row>
    <row r="824" spans="3:9" x14ac:dyDescent="0.2">
      <c r="E824" s="129" t="s">
        <v>439</v>
      </c>
      <c r="G824" s="980">
        <v>7237.71</v>
      </c>
      <c r="H824" s="295">
        <f t="shared" si="25"/>
        <v>153.156305</v>
      </c>
      <c r="I824" s="980">
        <f t="shared" si="24"/>
        <v>19900.588055</v>
      </c>
    </row>
    <row r="825" spans="3:9" x14ac:dyDescent="0.2">
      <c r="E825" s="129" t="s">
        <v>440</v>
      </c>
      <c r="G825" s="980">
        <v>7660.31</v>
      </c>
      <c r="H825" s="295">
        <f t="shared" si="25"/>
        <v>153.156305</v>
      </c>
      <c r="I825" s="980">
        <f t="shared" si="24"/>
        <v>20323.188054999999</v>
      </c>
    </row>
    <row r="826" spans="3:9" x14ac:dyDescent="0.2">
      <c r="E826" s="129" t="s">
        <v>441</v>
      </c>
      <c r="G826" s="980">
        <v>7870.61</v>
      </c>
      <c r="H826" s="295">
        <f t="shared" si="25"/>
        <v>153.156305</v>
      </c>
      <c r="I826" s="980">
        <f t="shared" si="24"/>
        <v>20533.488054999998</v>
      </c>
    </row>
    <row r="827" spans="3:9" x14ac:dyDescent="0.2">
      <c r="E827" s="129" t="s">
        <v>442</v>
      </c>
      <c r="G827" s="980">
        <v>8293.2099999999991</v>
      </c>
      <c r="H827" s="295">
        <f t="shared" si="25"/>
        <v>153.156305</v>
      </c>
      <c r="I827" s="980">
        <f t="shared" si="24"/>
        <v>20956.088054999997</v>
      </c>
    </row>
    <row r="828" spans="3:9" x14ac:dyDescent="0.2">
      <c r="E828" s="129" t="s">
        <v>443</v>
      </c>
      <c r="G828" s="980">
        <v>8715.81</v>
      </c>
      <c r="H828" s="295">
        <f t="shared" si="25"/>
        <v>153.156305</v>
      </c>
      <c r="I828" s="980">
        <f t="shared" si="24"/>
        <v>21378.688054999999</v>
      </c>
    </row>
    <row r="829" spans="3:9" x14ac:dyDescent="0.2">
      <c r="G829" s="980"/>
      <c r="H829" s="295"/>
      <c r="I829" s="295"/>
    </row>
    <row r="830" spans="3:9" ht="25.9" customHeight="1" x14ac:dyDescent="0.2">
      <c r="C830" s="2058" t="s">
        <v>1280</v>
      </c>
      <c r="D830" s="2058"/>
      <c r="E830" s="2058"/>
      <c r="F830" s="2058"/>
      <c r="G830" s="2058"/>
      <c r="H830" s="2058"/>
      <c r="I830" s="2058"/>
    </row>
    <row r="831" spans="3:9" x14ac:dyDescent="0.2">
      <c r="D831" s="1085">
        <v>0.3</v>
      </c>
      <c r="E831" s="139"/>
      <c r="G831" s="552"/>
      <c r="H831" s="295"/>
    </row>
    <row r="832" spans="3:9" x14ac:dyDescent="0.2">
      <c r="C832" s="526">
        <v>1</v>
      </c>
      <c r="D832" s="129" t="s">
        <v>20</v>
      </c>
      <c r="E832" s="129" t="s">
        <v>1283</v>
      </c>
      <c r="H832" s="295"/>
      <c r="I832" s="970">
        <f>I802</f>
        <v>8709.2999999999993</v>
      </c>
    </row>
    <row r="833" spans="3:9" x14ac:dyDescent="0.2">
      <c r="C833" s="295">
        <f>1/D831*1</f>
        <v>3.3333333333333335</v>
      </c>
      <c r="D833" s="129" t="s">
        <v>1087</v>
      </c>
      <c r="E833" s="130" t="s">
        <v>1284</v>
      </c>
      <c r="F833" s="1079">
        <f>SSR!$E$35</f>
        <v>1115</v>
      </c>
      <c r="H833" s="1093"/>
      <c r="I833" s="295">
        <f>C833*F833</f>
        <v>3716.666666666667</v>
      </c>
    </row>
    <row r="834" spans="3:9" x14ac:dyDescent="0.2">
      <c r="C834" s="295"/>
      <c r="E834" s="130" t="str">
        <f>E804</f>
        <v>Municipal allowance</v>
      </c>
      <c r="F834" s="928">
        <f>F804</f>
        <v>0.2</v>
      </c>
      <c r="H834" s="1093"/>
      <c r="I834" s="295">
        <f>I833*0.25*F834</f>
        <v>185.83333333333337</v>
      </c>
    </row>
    <row r="835" spans="3:9" ht="13.5" thickBot="1" x14ac:dyDescent="0.25">
      <c r="C835" s="295"/>
      <c r="E835" s="130" t="str">
        <f>E805</f>
        <v>Overheads &amp; cp</v>
      </c>
      <c r="F835" s="1940">
        <f>F805</f>
        <v>0.13614999999999999</v>
      </c>
      <c r="H835" s="1093"/>
      <c r="I835" s="149">
        <f>(I833+I834)*F835</f>
        <v>531.32537500000001</v>
      </c>
    </row>
    <row r="836" spans="3:9" ht="13.5" thickBot="1" x14ac:dyDescent="0.25">
      <c r="C836" s="295"/>
      <c r="E836" s="1094" t="s">
        <v>1285</v>
      </c>
      <c r="F836" s="931"/>
      <c r="H836" s="1093"/>
      <c r="I836" s="939">
        <f>SUM(I832:I835)</f>
        <v>13143.125375000001</v>
      </c>
    </row>
    <row r="837" spans="3:9" x14ac:dyDescent="0.2">
      <c r="C837" s="139" t="s">
        <v>1275</v>
      </c>
      <c r="E837" s="129" t="s">
        <v>422</v>
      </c>
      <c r="F837" s="1092">
        <f>SSR!$E$7</f>
        <v>134</v>
      </c>
      <c r="G837" s="980">
        <v>4361.97</v>
      </c>
      <c r="H837" s="295">
        <f>+($F$742*($F$747*0.25)+$F$747)*$F$743+F837</f>
        <v>153.156305</v>
      </c>
      <c r="I837" s="980">
        <f>$I$806+G837+H837</f>
        <v>17024.848054999999</v>
      </c>
    </row>
    <row r="838" spans="3:9" x14ac:dyDescent="0.2">
      <c r="E838" s="129" t="s">
        <v>423</v>
      </c>
      <c r="F838" s="140"/>
      <c r="G838" s="980">
        <v>1747.9</v>
      </c>
      <c r="H838" s="295">
        <f>H837</f>
        <v>153.156305</v>
      </c>
      <c r="I838" s="980">
        <f t="shared" ref="I838:I858" si="26">$I$806+G838+H838</f>
        <v>14410.778054999999</v>
      </c>
    </row>
    <row r="839" spans="3:9" x14ac:dyDescent="0.2">
      <c r="E839" s="129" t="s">
        <v>424</v>
      </c>
      <c r="G839" s="980">
        <v>1959.2</v>
      </c>
      <c r="H839" s="295">
        <f>H838</f>
        <v>153.156305</v>
      </c>
      <c r="I839" s="980">
        <f t="shared" si="26"/>
        <v>14622.078055</v>
      </c>
    </row>
    <row r="840" spans="3:9" x14ac:dyDescent="0.2">
      <c r="E840" s="129" t="s">
        <v>425</v>
      </c>
      <c r="G840" s="980">
        <v>2170.5</v>
      </c>
      <c r="H840" s="295">
        <f t="shared" ref="H840:H858" si="27">H839</f>
        <v>153.156305</v>
      </c>
      <c r="I840" s="980">
        <f t="shared" si="26"/>
        <v>14833.378054999999</v>
      </c>
    </row>
    <row r="841" spans="3:9" x14ac:dyDescent="0.2">
      <c r="E841" s="129" t="s">
        <v>426</v>
      </c>
      <c r="G841" s="980">
        <v>2593.1</v>
      </c>
      <c r="H841" s="295">
        <f t="shared" si="27"/>
        <v>153.156305</v>
      </c>
      <c r="I841" s="980">
        <f t="shared" si="26"/>
        <v>15255.978055</v>
      </c>
    </row>
    <row r="842" spans="3:9" x14ac:dyDescent="0.2">
      <c r="E842" s="129" t="s">
        <v>1276</v>
      </c>
      <c r="G842" s="980">
        <v>2804.4</v>
      </c>
      <c r="H842" s="295">
        <f t="shared" si="27"/>
        <v>153.156305</v>
      </c>
      <c r="I842" s="980">
        <f t="shared" si="26"/>
        <v>15467.278054999999</v>
      </c>
    </row>
    <row r="843" spans="3:9" x14ac:dyDescent="0.2">
      <c r="E843" s="129" t="s">
        <v>1277</v>
      </c>
      <c r="G843" s="980">
        <v>3437.3</v>
      </c>
      <c r="H843" s="295">
        <f t="shared" si="27"/>
        <v>153.156305</v>
      </c>
      <c r="I843" s="980">
        <f t="shared" si="26"/>
        <v>16100.178055</v>
      </c>
    </row>
    <row r="844" spans="3:9" x14ac:dyDescent="0.2">
      <c r="E844" s="129" t="s">
        <v>1278</v>
      </c>
      <c r="G844" s="980">
        <v>3859.9</v>
      </c>
      <c r="H844" s="295">
        <f t="shared" si="27"/>
        <v>153.156305</v>
      </c>
      <c r="I844" s="980">
        <f t="shared" si="26"/>
        <v>16522.778054999999</v>
      </c>
    </row>
    <row r="845" spans="3:9" x14ac:dyDescent="0.2">
      <c r="E845" s="129" t="s">
        <v>1279</v>
      </c>
      <c r="G845" s="980">
        <v>4071.2</v>
      </c>
      <c r="H845" s="295">
        <f t="shared" si="27"/>
        <v>153.156305</v>
      </c>
      <c r="I845" s="980">
        <f t="shared" si="26"/>
        <v>16734.078054999998</v>
      </c>
    </row>
    <row r="846" spans="3:9" x14ac:dyDescent="0.2">
      <c r="E846" s="129" t="s">
        <v>431</v>
      </c>
      <c r="G846" s="980">
        <v>4492.8</v>
      </c>
      <c r="H846" s="295">
        <f t="shared" si="27"/>
        <v>153.156305</v>
      </c>
      <c r="I846" s="980">
        <f t="shared" si="26"/>
        <v>17155.678055</v>
      </c>
    </row>
    <row r="847" spans="3:9" x14ac:dyDescent="0.2">
      <c r="E847" s="129" t="s">
        <v>432</v>
      </c>
      <c r="G847" s="980">
        <v>4915.3999999999996</v>
      </c>
      <c r="H847" s="295">
        <f t="shared" si="27"/>
        <v>153.156305</v>
      </c>
      <c r="I847" s="980">
        <f t="shared" si="26"/>
        <v>17578.278054999999</v>
      </c>
    </row>
    <row r="848" spans="3:9" x14ac:dyDescent="0.2">
      <c r="E848" s="129" t="s">
        <v>433</v>
      </c>
      <c r="G848" s="980">
        <v>5126.7</v>
      </c>
      <c r="H848" s="295">
        <f t="shared" si="27"/>
        <v>153.156305</v>
      </c>
      <c r="I848" s="980">
        <f t="shared" si="26"/>
        <v>17789.578054999998</v>
      </c>
    </row>
    <row r="849" spans="3:9" x14ac:dyDescent="0.2">
      <c r="E849" s="129" t="s">
        <v>434</v>
      </c>
      <c r="G849" s="980">
        <v>5548.3</v>
      </c>
      <c r="H849" s="295">
        <f t="shared" si="27"/>
        <v>153.156305</v>
      </c>
      <c r="I849" s="980">
        <f t="shared" si="26"/>
        <v>18211.178055</v>
      </c>
    </row>
    <row r="850" spans="3:9" x14ac:dyDescent="0.2">
      <c r="E850" s="129" t="s">
        <v>435</v>
      </c>
      <c r="G850" s="980">
        <v>5759.6</v>
      </c>
      <c r="H850" s="295">
        <f t="shared" si="27"/>
        <v>153.156305</v>
      </c>
      <c r="I850" s="980">
        <f t="shared" si="26"/>
        <v>18422.478055</v>
      </c>
    </row>
    <row r="851" spans="3:9" x14ac:dyDescent="0.2">
      <c r="E851" s="129" t="s">
        <v>436</v>
      </c>
      <c r="G851" s="980">
        <v>6182.2</v>
      </c>
      <c r="H851" s="295">
        <f t="shared" si="27"/>
        <v>153.156305</v>
      </c>
      <c r="I851" s="980">
        <f t="shared" si="26"/>
        <v>18845.078054999998</v>
      </c>
    </row>
    <row r="852" spans="3:9" x14ac:dyDescent="0.2">
      <c r="E852" s="129" t="s">
        <v>437</v>
      </c>
      <c r="G852" s="980">
        <v>6603.81</v>
      </c>
      <c r="H852" s="295">
        <f t="shared" si="27"/>
        <v>153.156305</v>
      </c>
      <c r="I852" s="980">
        <f t="shared" si="26"/>
        <v>19266.688054999999</v>
      </c>
    </row>
    <row r="853" spans="3:9" x14ac:dyDescent="0.2">
      <c r="E853" s="129" t="s">
        <v>438</v>
      </c>
      <c r="G853" s="980">
        <v>6815.11</v>
      </c>
      <c r="H853" s="295">
        <f t="shared" si="27"/>
        <v>153.156305</v>
      </c>
      <c r="I853" s="980">
        <f t="shared" si="26"/>
        <v>19477.988054999998</v>
      </c>
    </row>
    <row r="854" spans="3:9" x14ac:dyDescent="0.2">
      <c r="E854" s="129" t="s">
        <v>439</v>
      </c>
      <c r="G854" s="980">
        <v>7237.71</v>
      </c>
      <c r="H854" s="295">
        <f t="shared" si="27"/>
        <v>153.156305</v>
      </c>
      <c r="I854" s="980">
        <f t="shared" si="26"/>
        <v>19900.588055</v>
      </c>
    </row>
    <row r="855" spans="3:9" x14ac:dyDescent="0.2">
      <c r="E855" s="129" t="s">
        <v>440</v>
      </c>
      <c r="G855" s="980">
        <v>7660.31</v>
      </c>
      <c r="H855" s="295">
        <f t="shared" si="27"/>
        <v>153.156305</v>
      </c>
      <c r="I855" s="980">
        <f t="shared" si="26"/>
        <v>20323.188054999999</v>
      </c>
    </row>
    <row r="856" spans="3:9" x14ac:dyDescent="0.2">
      <c r="E856" s="129" t="s">
        <v>441</v>
      </c>
      <c r="G856" s="980">
        <v>7870.61</v>
      </c>
      <c r="H856" s="295">
        <f t="shared" si="27"/>
        <v>153.156305</v>
      </c>
      <c r="I856" s="980">
        <f t="shared" si="26"/>
        <v>20533.488054999998</v>
      </c>
    </row>
    <row r="857" spans="3:9" x14ac:dyDescent="0.2">
      <c r="E857" s="129" t="s">
        <v>442</v>
      </c>
      <c r="G857" s="980">
        <v>8293.2099999999991</v>
      </c>
      <c r="H857" s="295">
        <f t="shared" si="27"/>
        <v>153.156305</v>
      </c>
      <c r="I857" s="980">
        <f t="shared" si="26"/>
        <v>20956.088054999997</v>
      </c>
    </row>
    <row r="858" spans="3:9" x14ac:dyDescent="0.2">
      <c r="E858" s="129" t="s">
        <v>443</v>
      </c>
      <c r="G858" s="980">
        <v>8715.81</v>
      </c>
      <c r="H858" s="295">
        <f t="shared" si="27"/>
        <v>153.156305</v>
      </c>
      <c r="I858" s="980">
        <f t="shared" si="26"/>
        <v>21378.688054999999</v>
      </c>
    </row>
    <row r="859" spans="3:9" x14ac:dyDescent="0.2">
      <c r="G859" s="980"/>
      <c r="H859" s="295"/>
      <c r="I859" s="295"/>
    </row>
    <row r="860" spans="3:9" ht="25.9" customHeight="1" x14ac:dyDescent="0.2">
      <c r="C860" s="2058" t="s">
        <v>1280</v>
      </c>
      <c r="D860" s="2058"/>
      <c r="E860" s="2058"/>
      <c r="F860" s="2058"/>
      <c r="G860" s="2058"/>
      <c r="H860" s="2058"/>
      <c r="I860" s="2058"/>
    </row>
    <row r="861" spans="3:9" x14ac:dyDescent="0.2">
      <c r="D861" s="1085">
        <v>0.25</v>
      </c>
      <c r="E861" s="139"/>
      <c r="G861" s="552"/>
      <c r="H861" s="295"/>
    </row>
    <row r="862" spans="3:9" x14ac:dyDescent="0.2">
      <c r="C862" s="526">
        <v>1</v>
      </c>
      <c r="D862" s="129" t="s">
        <v>20</v>
      </c>
      <c r="E862" s="129" t="s">
        <v>1283</v>
      </c>
      <c r="H862" s="295"/>
      <c r="I862" s="970">
        <f>I832</f>
        <v>8709.2999999999993</v>
      </c>
    </row>
    <row r="863" spans="3:9" x14ac:dyDescent="0.2">
      <c r="C863" s="295">
        <f>1/D861*1</f>
        <v>4</v>
      </c>
      <c r="D863" s="129" t="s">
        <v>1087</v>
      </c>
      <c r="E863" s="130" t="s">
        <v>1284</v>
      </c>
      <c r="F863" s="1079">
        <f>SSR!$E$35</f>
        <v>1115</v>
      </c>
      <c r="H863" s="1093"/>
      <c r="I863" s="295">
        <f>C863*F863</f>
        <v>4460</v>
      </c>
    </row>
    <row r="864" spans="3:9" x14ac:dyDescent="0.2">
      <c r="C864" s="295"/>
      <c r="E864" s="130" t="str">
        <f>E834</f>
        <v>Municipal allowance</v>
      </c>
      <c r="F864" s="928">
        <f>F834</f>
        <v>0.2</v>
      </c>
      <c r="H864" s="1093"/>
      <c r="I864" s="295">
        <f>I863*0.25*F864</f>
        <v>223</v>
      </c>
    </row>
    <row r="865" spans="3:9" ht="13.5" thickBot="1" x14ac:dyDescent="0.25">
      <c r="C865" s="295"/>
      <c r="E865" s="130" t="str">
        <f>E835</f>
        <v>Overheads &amp; cp</v>
      </c>
      <c r="F865" s="1940">
        <f>F835</f>
        <v>0.13614999999999999</v>
      </c>
      <c r="H865" s="1093"/>
      <c r="I865" s="149">
        <f>(I863+I864)*F865</f>
        <v>637.59044999999992</v>
      </c>
    </row>
    <row r="866" spans="3:9" ht="13.5" thickBot="1" x14ac:dyDescent="0.25">
      <c r="C866" s="295"/>
      <c r="E866" s="1094" t="s">
        <v>1285</v>
      </c>
      <c r="F866" s="931"/>
      <c r="H866" s="1093"/>
      <c r="I866" s="939">
        <f>SUM(I862:I865)</f>
        <v>14029.890449999999</v>
      </c>
    </row>
    <row r="867" spans="3:9" x14ac:dyDescent="0.2">
      <c r="C867" s="139" t="s">
        <v>1275</v>
      </c>
      <c r="E867" s="129" t="s">
        <v>422</v>
      </c>
      <c r="F867" s="1092">
        <f>SSR!$E$7</f>
        <v>134</v>
      </c>
      <c r="G867" s="980">
        <v>5229.3</v>
      </c>
      <c r="H867" s="295">
        <f>+($F$742*($F$747*0.25)+$F$747)*$F$743+F867</f>
        <v>153.156305</v>
      </c>
      <c r="I867" s="980">
        <f>$I$806+G867+H867</f>
        <v>17892.178055</v>
      </c>
    </row>
    <row r="868" spans="3:9" x14ac:dyDescent="0.2">
      <c r="E868" s="129" t="s">
        <v>423</v>
      </c>
      <c r="F868" s="140"/>
      <c r="G868" s="980">
        <v>1747.9</v>
      </c>
      <c r="H868" s="295">
        <f>H867</f>
        <v>153.156305</v>
      </c>
      <c r="I868" s="980">
        <f t="shared" ref="I868:I888" si="28">$I$806+G868+H868</f>
        <v>14410.778054999999</v>
      </c>
    </row>
    <row r="869" spans="3:9" x14ac:dyDescent="0.2">
      <c r="E869" s="129" t="s">
        <v>424</v>
      </c>
      <c r="G869" s="980">
        <v>1959.2</v>
      </c>
      <c r="H869" s="295">
        <f>H868</f>
        <v>153.156305</v>
      </c>
      <c r="I869" s="980">
        <f t="shared" si="28"/>
        <v>14622.078055</v>
      </c>
    </row>
    <row r="870" spans="3:9" x14ac:dyDescent="0.2">
      <c r="E870" s="129" t="s">
        <v>425</v>
      </c>
      <c r="G870" s="980">
        <v>2170.5</v>
      </c>
      <c r="H870" s="295">
        <f t="shared" ref="H870:H888" si="29">H869</f>
        <v>153.156305</v>
      </c>
      <c r="I870" s="980">
        <f t="shared" si="28"/>
        <v>14833.378054999999</v>
      </c>
    </row>
    <row r="871" spans="3:9" x14ac:dyDescent="0.2">
      <c r="E871" s="129" t="s">
        <v>426</v>
      </c>
      <c r="G871" s="980">
        <v>2593.1</v>
      </c>
      <c r="H871" s="295">
        <f t="shared" si="29"/>
        <v>153.156305</v>
      </c>
      <c r="I871" s="980">
        <f t="shared" si="28"/>
        <v>15255.978055</v>
      </c>
    </row>
    <row r="872" spans="3:9" x14ac:dyDescent="0.2">
      <c r="E872" s="129" t="s">
        <v>1276</v>
      </c>
      <c r="G872" s="980">
        <v>2804.4</v>
      </c>
      <c r="H872" s="295">
        <f t="shared" si="29"/>
        <v>153.156305</v>
      </c>
      <c r="I872" s="980">
        <f t="shared" si="28"/>
        <v>15467.278054999999</v>
      </c>
    </row>
    <row r="873" spans="3:9" x14ac:dyDescent="0.2">
      <c r="E873" s="129" t="s">
        <v>1277</v>
      </c>
      <c r="G873" s="980">
        <v>3437.3</v>
      </c>
      <c r="H873" s="295">
        <f t="shared" si="29"/>
        <v>153.156305</v>
      </c>
      <c r="I873" s="980">
        <f t="shared" si="28"/>
        <v>16100.178055</v>
      </c>
    </row>
    <row r="874" spans="3:9" x14ac:dyDescent="0.2">
      <c r="E874" s="129" t="s">
        <v>1278</v>
      </c>
      <c r="G874" s="980">
        <v>3859.9</v>
      </c>
      <c r="H874" s="295">
        <f t="shared" si="29"/>
        <v>153.156305</v>
      </c>
      <c r="I874" s="980">
        <f t="shared" si="28"/>
        <v>16522.778054999999</v>
      </c>
    </row>
    <row r="875" spans="3:9" x14ac:dyDescent="0.2">
      <c r="E875" s="129" t="s">
        <v>1279</v>
      </c>
      <c r="G875" s="980">
        <v>4071.2</v>
      </c>
      <c r="H875" s="295">
        <f t="shared" si="29"/>
        <v>153.156305</v>
      </c>
      <c r="I875" s="980">
        <f t="shared" si="28"/>
        <v>16734.078054999998</v>
      </c>
    </row>
    <row r="876" spans="3:9" x14ac:dyDescent="0.2">
      <c r="E876" s="129" t="s">
        <v>431</v>
      </c>
      <c r="G876" s="980">
        <v>4492.8</v>
      </c>
      <c r="H876" s="295">
        <f t="shared" si="29"/>
        <v>153.156305</v>
      </c>
      <c r="I876" s="980">
        <f t="shared" si="28"/>
        <v>17155.678055</v>
      </c>
    </row>
    <row r="877" spans="3:9" x14ac:dyDescent="0.2">
      <c r="E877" s="129" t="s">
        <v>432</v>
      </c>
      <c r="G877" s="980">
        <v>4915.3999999999996</v>
      </c>
      <c r="H877" s="295">
        <f t="shared" si="29"/>
        <v>153.156305</v>
      </c>
      <c r="I877" s="980">
        <f t="shared" si="28"/>
        <v>17578.278054999999</v>
      </c>
    </row>
    <row r="878" spans="3:9" x14ac:dyDescent="0.2">
      <c r="E878" s="129" t="s">
        <v>433</v>
      </c>
      <c r="G878" s="980">
        <v>5126.7</v>
      </c>
      <c r="H878" s="295">
        <f t="shared" si="29"/>
        <v>153.156305</v>
      </c>
      <c r="I878" s="980">
        <f t="shared" si="28"/>
        <v>17789.578054999998</v>
      </c>
    </row>
    <row r="879" spans="3:9" x14ac:dyDescent="0.2">
      <c r="E879" s="129" t="s">
        <v>434</v>
      </c>
      <c r="G879" s="980">
        <v>5548.3</v>
      </c>
      <c r="H879" s="295">
        <f t="shared" si="29"/>
        <v>153.156305</v>
      </c>
      <c r="I879" s="980">
        <f t="shared" si="28"/>
        <v>18211.178055</v>
      </c>
    </row>
    <row r="880" spans="3:9" x14ac:dyDescent="0.2">
      <c r="E880" s="129" t="s">
        <v>435</v>
      </c>
      <c r="G880" s="980">
        <v>5759.6</v>
      </c>
      <c r="H880" s="295">
        <f t="shared" si="29"/>
        <v>153.156305</v>
      </c>
      <c r="I880" s="980">
        <f t="shared" si="28"/>
        <v>18422.478055</v>
      </c>
    </row>
    <row r="881" spans="3:9" x14ac:dyDescent="0.2">
      <c r="E881" s="129" t="s">
        <v>436</v>
      </c>
      <c r="G881" s="980">
        <v>6182.2</v>
      </c>
      <c r="H881" s="295">
        <f t="shared" si="29"/>
        <v>153.156305</v>
      </c>
      <c r="I881" s="980">
        <f t="shared" si="28"/>
        <v>18845.078054999998</v>
      </c>
    </row>
    <row r="882" spans="3:9" x14ac:dyDescent="0.2">
      <c r="E882" s="129" t="s">
        <v>437</v>
      </c>
      <c r="G882" s="980">
        <v>6603.81</v>
      </c>
      <c r="H882" s="295">
        <f t="shared" si="29"/>
        <v>153.156305</v>
      </c>
      <c r="I882" s="980">
        <f t="shared" si="28"/>
        <v>19266.688054999999</v>
      </c>
    </row>
    <row r="883" spans="3:9" x14ac:dyDescent="0.2">
      <c r="E883" s="129" t="s">
        <v>438</v>
      </c>
      <c r="G883" s="980">
        <v>6815.11</v>
      </c>
      <c r="H883" s="295">
        <f t="shared" si="29"/>
        <v>153.156305</v>
      </c>
      <c r="I883" s="980">
        <f t="shared" si="28"/>
        <v>19477.988054999998</v>
      </c>
    </row>
    <row r="884" spans="3:9" x14ac:dyDescent="0.2">
      <c r="E884" s="129" t="s">
        <v>439</v>
      </c>
      <c r="G884" s="980">
        <v>7237.71</v>
      </c>
      <c r="H884" s="295">
        <f t="shared" si="29"/>
        <v>153.156305</v>
      </c>
      <c r="I884" s="980">
        <f t="shared" si="28"/>
        <v>19900.588055</v>
      </c>
    </row>
    <row r="885" spans="3:9" x14ac:dyDescent="0.2">
      <c r="E885" s="129" t="s">
        <v>440</v>
      </c>
      <c r="G885" s="980">
        <v>7660.31</v>
      </c>
      <c r="H885" s="295">
        <f t="shared" si="29"/>
        <v>153.156305</v>
      </c>
      <c r="I885" s="980">
        <f t="shared" si="28"/>
        <v>20323.188054999999</v>
      </c>
    </row>
    <row r="886" spans="3:9" x14ac:dyDescent="0.2">
      <c r="E886" s="129" t="s">
        <v>441</v>
      </c>
      <c r="G886" s="980">
        <v>7870.61</v>
      </c>
      <c r="H886" s="295">
        <f t="shared" si="29"/>
        <v>153.156305</v>
      </c>
      <c r="I886" s="980">
        <f t="shared" si="28"/>
        <v>20533.488054999998</v>
      </c>
    </row>
    <row r="887" spans="3:9" x14ac:dyDescent="0.2">
      <c r="E887" s="129" t="s">
        <v>442</v>
      </c>
      <c r="G887" s="980">
        <v>8293.2099999999991</v>
      </c>
      <c r="H887" s="295">
        <f t="shared" si="29"/>
        <v>153.156305</v>
      </c>
      <c r="I887" s="980">
        <f t="shared" si="28"/>
        <v>20956.088054999997</v>
      </c>
    </row>
    <row r="888" spans="3:9" x14ac:dyDescent="0.2">
      <c r="E888" s="129" t="s">
        <v>443</v>
      </c>
      <c r="G888" s="980">
        <v>8715.81</v>
      </c>
      <c r="H888" s="295">
        <f t="shared" si="29"/>
        <v>153.156305</v>
      </c>
      <c r="I888" s="980">
        <f t="shared" si="28"/>
        <v>21378.688054999999</v>
      </c>
    </row>
    <row r="889" spans="3:9" x14ac:dyDescent="0.2">
      <c r="G889" s="980"/>
      <c r="H889" s="295"/>
      <c r="I889" s="295"/>
    </row>
    <row r="890" spans="3:9" ht="25.9" customHeight="1" x14ac:dyDescent="0.2">
      <c r="C890" s="2058" t="s">
        <v>1280</v>
      </c>
      <c r="D890" s="2058"/>
      <c r="E890" s="2058"/>
      <c r="F890" s="2058"/>
      <c r="G890" s="2058"/>
      <c r="H890" s="2058"/>
      <c r="I890" s="2058"/>
    </row>
    <row r="891" spans="3:9" x14ac:dyDescent="0.2">
      <c r="D891" s="1085">
        <v>0.2</v>
      </c>
      <c r="E891" s="139"/>
      <c r="G891" s="552"/>
      <c r="H891" s="295"/>
    </row>
    <row r="892" spans="3:9" x14ac:dyDescent="0.2">
      <c r="C892" s="526">
        <v>1</v>
      </c>
      <c r="D892" s="129" t="s">
        <v>20</v>
      </c>
      <c r="E892" s="129" t="s">
        <v>1283</v>
      </c>
      <c r="H892" s="295"/>
      <c r="I892" s="970">
        <f>I862</f>
        <v>8709.2999999999993</v>
      </c>
    </row>
    <row r="893" spans="3:9" x14ac:dyDescent="0.2">
      <c r="C893" s="295">
        <f>1/D891*1</f>
        <v>5</v>
      </c>
      <c r="D893" s="129" t="s">
        <v>1087</v>
      </c>
      <c r="E893" s="130" t="s">
        <v>1284</v>
      </c>
      <c r="F893" s="1079">
        <f>SSR!$E$35</f>
        <v>1115</v>
      </c>
      <c r="H893" s="1093"/>
      <c r="I893" s="295">
        <f>C893*F893</f>
        <v>5575</v>
      </c>
    </row>
    <row r="894" spans="3:9" x14ac:dyDescent="0.2">
      <c r="C894" s="295"/>
      <c r="E894" s="130" t="str">
        <f>E864</f>
        <v>Municipal allowance</v>
      </c>
      <c r="F894" s="928">
        <f>F864</f>
        <v>0.2</v>
      </c>
      <c r="H894" s="1093"/>
      <c r="I894" s="295">
        <f>I893*0.25*F894</f>
        <v>278.75</v>
      </c>
    </row>
    <row r="895" spans="3:9" ht="13.5" thickBot="1" x14ac:dyDescent="0.25">
      <c r="C895" s="295"/>
      <c r="E895" s="130" t="str">
        <f>E865</f>
        <v>Overheads &amp; cp</v>
      </c>
      <c r="F895" s="1940">
        <f>F865</f>
        <v>0.13614999999999999</v>
      </c>
      <c r="H895" s="1093"/>
      <c r="I895" s="149">
        <f>(I893+I894)*F895</f>
        <v>796.98806249999996</v>
      </c>
    </row>
    <row r="896" spans="3:9" ht="13.5" thickBot="1" x14ac:dyDescent="0.25">
      <c r="C896" s="295"/>
      <c r="E896" s="1094" t="s">
        <v>1285</v>
      </c>
      <c r="F896" s="931"/>
      <c r="H896" s="1093"/>
      <c r="I896" s="939">
        <f>SUM(I892:I895)</f>
        <v>15360.0380625</v>
      </c>
    </row>
    <row r="897" spans="3:9" x14ac:dyDescent="0.2">
      <c r="C897" s="139" t="s">
        <v>1275</v>
      </c>
      <c r="E897" s="129" t="s">
        <v>422</v>
      </c>
      <c r="F897" s="1092">
        <f>SSR!$E$7</f>
        <v>134</v>
      </c>
      <c r="G897" s="980">
        <v>6530.3</v>
      </c>
      <c r="H897" s="295">
        <f>+($F$742*($F$747*0.25)+$F$747)*$F$743+F897</f>
        <v>153.156305</v>
      </c>
      <c r="I897" s="980">
        <f>$I$806+G897+H897</f>
        <v>19193.178055</v>
      </c>
    </row>
    <row r="898" spans="3:9" x14ac:dyDescent="0.2">
      <c r="E898" s="129" t="s">
        <v>423</v>
      </c>
      <c r="F898" s="140"/>
      <c r="G898" s="980">
        <v>1747.9</v>
      </c>
      <c r="H898" s="295">
        <f>H897</f>
        <v>153.156305</v>
      </c>
      <c r="I898" s="980">
        <f t="shared" ref="I898:I918" si="30">$I$806+G898+H898</f>
        <v>14410.778054999999</v>
      </c>
    </row>
    <row r="899" spans="3:9" x14ac:dyDescent="0.2">
      <c r="E899" s="129" t="s">
        <v>424</v>
      </c>
      <c r="G899" s="980">
        <v>1959.2</v>
      </c>
      <c r="H899" s="295">
        <f>H898</f>
        <v>153.156305</v>
      </c>
      <c r="I899" s="980">
        <f t="shared" si="30"/>
        <v>14622.078055</v>
      </c>
    </row>
    <row r="900" spans="3:9" x14ac:dyDescent="0.2">
      <c r="E900" s="129" t="s">
        <v>425</v>
      </c>
      <c r="G900" s="980">
        <v>2170.5</v>
      </c>
      <c r="H900" s="295">
        <f t="shared" ref="H900:H918" si="31">H899</f>
        <v>153.156305</v>
      </c>
      <c r="I900" s="980">
        <f t="shared" si="30"/>
        <v>14833.378054999999</v>
      </c>
    </row>
    <row r="901" spans="3:9" x14ac:dyDescent="0.2">
      <c r="E901" s="129" t="s">
        <v>426</v>
      </c>
      <c r="G901" s="980">
        <v>2593.1</v>
      </c>
      <c r="H901" s="295">
        <f t="shared" si="31"/>
        <v>153.156305</v>
      </c>
      <c r="I901" s="980">
        <f t="shared" si="30"/>
        <v>15255.978055</v>
      </c>
    </row>
    <row r="902" spans="3:9" x14ac:dyDescent="0.2">
      <c r="E902" s="129" t="s">
        <v>1276</v>
      </c>
      <c r="G902" s="980">
        <v>2804.4</v>
      </c>
      <c r="H902" s="295">
        <f t="shared" si="31"/>
        <v>153.156305</v>
      </c>
      <c r="I902" s="980">
        <f t="shared" si="30"/>
        <v>15467.278054999999</v>
      </c>
    </row>
    <row r="903" spans="3:9" x14ac:dyDescent="0.2">
      <c r="E903" s="129" t="s">
        <v>1277</v>
      </c>
      <c r="G903" s="980">
        <v>3437.3</v>
      </c>
      <c r="H903" s="295">
        <f t="shared" si="31"/>
        <v>153.156305</v>
      </c>
      <c r="I903" s="980">
        <f t="shared" si="30"/>
        <v>16100.178055</v>
      </c>
    </row>
    <row r="904" spans="3:9" x14ac:dyDescent="0.2">
      <c r="E904" s="129" t="s">
        <v>1278</v>
      </c>
      <c r="G904" s="980">
        <v>3859.9</v>
      </c>
      <c r="H904" s="295">
        <f t="shared" si="31"/>
        <v>153.156305</v>
      </c>
      <c r="I904" s="980">
        <f t="shared" si="30"/>
        <v>16522.778054999999</v>
      </c>
    </row>
    <row r="905" spans="3:9" x14ac:dyDescent="0.2">
      <c r="E905" s="129" t="s">
        <v>1279</v>
      </c>
      <c r="G905" s="980">
        <v>4071.2</v>
      </c>
      <c r="H905" s="295">
        <f t="shared" si="31"/>
        <v>153.156305</v>
      </c>
      <c r="I905" s="980">
        <f t="shared" si="30"/>
        <v>16734.078054999998</v>
      </c>
    </row>
    <row r="906" spans="3:9" x14ac:dyDescent="0.2">
      <c r="E906" s="129" t="s">
        <v>431</v>
      </c>
      <c r="G906" s="980">
        <v>4492.8</v>
      </c>
      <c r="H906" s="295">
        <f t="shared" si="31"/>
        <v>153.156305</v>
      </c>
      <c r="I906" s="980">
        <f t="shared" si="30"/>
        <v>17155.678055</v>
      </c>
    </row>
    <row r="907" spans="3:9" x14ac:dyDescent="0.2">
      <c r="E907" s="129" t="s">
        <v>432</v>
      </c>
      <c r="G907" s="980">
        <v>4915.3999999999996</v>
      </c>
      <c r="H907" s="295">
        <f t="shared" si="31"/>
        <v>153.156305</v>
      </c>
      <c r="I907" s="980">
        <f t="shared" si="30"/>
        <v>17578.278054999999</v>
      </c>
    </row>
    <row r="908" spans="3:9" x14ac:dyDescent="0.2">
      <c r="E908" s="129" t="s">
        <v>433</v>
      </c>
      <c r="G908" s="980">
        <v>5126.7</v>
      </c>
      <c r="H908" s="295">
        <f t="shared" si="31"/>
        <v>153.156305</v>
      </c>
      <c r="I908" s="980">
        <f t="shared" si="30"/>
        <v>17789.578054999998</v>
      </c>
    </row>
    <row r="909" spans="3:9" x14ac:dyDescent="0.2">
      <c r="E909" s="129" t="s">
        <v>434</v>
      </c>
      <c r="G909" s="980">
        <v>5548.3</v>
      </c>
      <c r="H909" s="295">
        <f t="shared" si="31"/>
        <v>153.156305</v>
      </c>
      <c r="I909" s="980">
        <f t="shared" si="30"/>
        <v>18211.178055</v>
      </c>
    </row>
    <row r="910" spans="3:9" x14ac:dyDescent="0.2">
      <c r="E910" s="129" t="s">
        <v>435</v>
      </c>
      <c r="G910" s="980">
        <v>5759.6</v>
      </c>
      <c r="H910" s="295">
        <f t="shared" si="31"/>
        <v>153.156305</v>
      </c>
      <c r="I910" s="980">
        <f t="shared" si="30"/>
        <v>18422.478055</v>
      </c>
    </row>
    <row r="911" spans="3:9" x14ac:dyDescent="0.2">
      <c r="E911" s="129" t="s">
        <v>436</v>
      </c>
      <c r="G911" s="980">
        <v>6182.2</v>
      </c>
      <c r="H911" s="295">
        <f t="shared" si="31"/>
        <v>153.156305</v>
      </c>
      <c r="I911" s="980">
        <f t="shared" si="30"/>
        <v>18845.078054999998</v>
      </c>
    </row>
    <row r="912" spans="3:9" x14ac:dyDescent="0.2">
      <c r="E912" s="129" t="s">
        <v>437</v>
      </c>
      <c r="G912" s="980">
        <v>6603.81</v>
      </c>
      <c r="H912" s="295">
        <f t="shared" si="31"/>
        <v>153.156305</v>
      </c>
      <c r="I912" s="980">
        <f t="shared" si="30"/>
        <v>19266.688054999999</v>
      </c>
    </row>
    <row r="913" spans="3:9" x14ac:dyDescent="0.2">
      <c r="E913" s="129" t="s">
        <v>438</v>
      </c>
      <c r="G913" s="980">
        <v>6815.11</v>
      </c>
      <c r="H913" s="295">
        <f t="shared" si="31"/>
        <v>153.156305</v>
      </c>
      <c r="I913" s="980">
        <f t="shared" si="30"/>
        <v>19477.988054999998</v>
      </c>
    </row>
    <row r="914" spans="3:9" x14ac:dyDescent="0.2">
      <c r="E914" s="129" t="s">
        <v>439</v>
      </c>
      <c r="G914" s="980">
        <v>7237.71</v>
      </c>
      <c r="H914" s="295">
        <f t="shared" si="31"/>
        <v>153.156305</v>
      </c>
      <c r="I914" s="980">
        <f t="shared" si="30"/>
        <v>19900.588055</v>
      </c>
    </row>
    <row r="915" spans="3:9" x14ac:dyDescent="0.2">
      <c r="E915" s="129" t="s">
        <v>440</v>
      </c>
      <c r="G915" s="980">
        <v>7660.31</v>
      </c>
      <c r="H915" s="295">
        <f t="shared" si="31"/>
        <v>153.156305</v>
      </c>
      <c r="I915" s="980">
        <f t="shared" si="30"/>
        <v>20323.188054999999</v>
      </c>
    </row>
    <row r="916" spans="3:9" x14ac:dyDescent="0.2">
      <c r="E916" s="129" t="s">
        <v>441</v>
      </c>
      <c r="G916" s="980">
        <v>7870.61</v>
      </c>
      <c r="H916" s="295">
        <f t="shared" si="31"/>
        <v>153.156305</v>
      </c>
      <c r="I916" s="980">
        <f t="shared" si="30"/>
        <v>20533.488054999998</v>
      </c>
    </row>
    <row r="917" spans="3:9" x14ac:dyDescent="0.2">
      <c r="E917" s="129" t="s">
        <v>442</v>
      </c>
      <c r="G917" s="980">
        <v>8293.2099999999991</v>
      </c>
      <c r="H917" s="295">
        <f t="shared" si="31"/>
        <v>153.156305</v>
      </c>
      <c r="I917" s="980">
        <f t="shared" si="30"/>
        <v>20956.088054999997</v>
      </c>
    </row>
    <row r="918" spans="3:9" x14ac:dyDescent="0.2">
      <c r="E918" s="129" t="s">
        <v>443</v>
      </c>
      <c r="G918" s="980">
        <v>8715.81</v>
      </c>
      <c r="H918" s="295">
        <f t="shared" si="31"/>
        <v>153.156305</v>
      </c>
      <c r="I918" s="980">
        <f t="shared" si="30"/>
        <v>21378.688054999999</v>
      </c>
    </row>
    <row r="919" spans="3:9" x14ac:dyDescent="0.2">
      <c r="G919" s="980"/>
      <c r="H919" s="295"/>
      <c r="I919" s="295"/>
    </row>
    <row r="920" spans="3:9" ht="25.9" customHeight="1" x14ac:dyDescent="0.2">
      <c r="C920" s="2058" t="s">
        <v>1280</v>
      </c>
      <c r="D920" s="2058"/>
      <c r="E920" s="2058"/>
      <c r="F920" s="2058"/>
      <c r="G920" s="2058"/>
      <c r="H920" s="2058"/>
      <c r="I920" s="2058"/>
    </row>
    <row r="921" spans="3:9" x14ac:dyDescent="0.2">
      <c r="D921" s="1085">
        <v>0.15</v>
      </c>
      <c r="E921" s="139"/>
      <c r="G921" s="552"/>
      <c r="H921" s="295"/>
    </row>
    <row r="922" spans="3:9" x14ac:dyDescent="0.2">
      <c r="C922" s="526">
        <v>1</v>
      </c>
      <c r="D922" s="129" t="s">
        <v>20</v>
      </c>
      <c r="E922" s="129" t="s">
        <v>1283</v>
      </c>
      <c r="H922" s="295"/>
      <c r="I922" s="970">
        <f>I892</f>
        <v>8709.2999999999993</v>
      </c>
    </row>
    <row r="923" spans="3:9" x14ac:dyDescent="0.2">
      <c r="C923" s="295">
        <f>1/D921*1</f>
        <v>6.666666666666667</v>
      </c>
      <c r="D923" s="129" t="s">
        <v>1087</v>
      </c>
      <c r="E923" s="130" t="s">
        <v>1284</v>
      </c>
      <c r="F923" s="1079">
        <f>SSR!$E$35</f>
        <v>1115</v>
      </c>
      <c r="H923" s="1093"/>
      <c r="I923" s="295">
        <f>C923*F923</f>
        <v>7433.3333333333339</v>
      </c>
    </row>
    <row r="924" spans="3:9" x14ac:dyDescent="0.2">
      <c r="C924" s="295"/>
      <c r="E924" s="130" t="str">
        <f>E894</f>
        <v>Municipal allowance</v>
      </c>
      <c r="F924" s="928">
        <f>F894</f>
        <v>0.2</v>
      </c>
      <c r="H924" s="1093"/>
      <c r="I924" s="295">
        <f>I923*0.25*F924</f>
        <v>371.66666666666674</v>
      </c>
    </row>
    <row r="925" spans="3:9" ht="13.5" thickBot="1" x14ac:dyDescent="0.25">
      <c r="C925" s="295"/>
      <c r="E925" s="130" t="str">
        <f>E895</f>
        <v>Overheads &amp; cp</v>
      </c>
      <c r="F925" s="1940">
        <f>F895</f>
        <v>0.13614999999999999</v>
      </c>
      <c r="H925" s="1093"/>
      <c r="I925" s="149">
        <f>(I923+I924)*F925</f>
        <v>1062.65075</v>
      </c>
    </row>
    <row r="926" spans="3:9" ht="13.5" thickBot="1" x14ac:dyDescent="0.25">
      <c r="C926" s="295"/>
      <c r="E926" s="1094" t="s">
        <v>1285</v>
      </c>
      <c r="F926" s="931"/>
      <c r="H926" s="1093"/>
      <c r="I926" s="939">
        <f>SUM(I922:I925)</f>
        <v>17576.95075</v>
      </c>
    </row>
    <row r="927" spans="3:9" x14ac:dyDescent="0.2">
      <c r="C927" s="139" t="s">
        <v>1275</v>
      </c>
      <c r="E927" s="129" t="s">
        <v>422</v>
      </c>
      <c r="F927" s="1092">
        <f>SSR!$E$7</f>
        <v>134</v>
      </c>
      <c r="G927" s="980">
        <v>8698.6299999999992</v>
      </c>
      <c r="H927" s="295">
        <f>+($F$742*($F$747*0.25)+$F$747)*$F$743+F927</f>
        <v>153.156305</v>
      </c>
      <c r="I927" s="980">
        <f>$I$806+G927+H927</f>
        <v>21361.508054999998</v>
      </c>
    </row>
    <row r="928" spans="3:9" x14ac:dyDescent="0.2">
      <c r="E928" s="129" t="s">
        <v>423</v>
      </c>
      <c r="F928" s="140"/>
      <c r="G928" s="980">
        <v>1747.9</v>
      </c>
      <c r="H928" s="295">
        <f>H927</f>
        <v>153.156305</v>
      </c>
      <c r="I928" s="980">
        <f t="shared" ref="I928:I948" si="32">$I$806+G928+H928</f>
        <v>14410.778054999999</v>
      </c>
    </row>
    <row r="929" spans="5:9" x14ac:dyDescent="0.2">
      <c r="E929" s="129" t="s">
        <v>424</v>
      </c>
      <c r="G929" s="980">
        <v>1959.2</v>
      </c>
      <c r="H929" s="295">
        <f>H928</f>
        <v>153.156305</v>
      </c>
      <c r="I929" s="980">
        <f t="shared" si="32"/>
        <v>14622.078055</v>
      </c>
    </row>
    <row r="930" spans="5:9" x14ac:dyDescent="0.2">
      <c r="E930" s="129" t="s">
        <v>425</v>
      </c>
      <c r="G930" s="980">
        <v>2170.5</v>
      </c>
      <c r="H930" s="295">
        <f t="shared" ref="H930:H948" si="33">H929</f>
        <v>153.156305</v>
      </c>
      <c r="I930" s="980">
        <f t="shared" si="32"/>
        <v>14833.378054999999</v>
      </c>
    </row>
    <row r="931" spans="5:9" x14ac:dyDescent="0.2">
      <c r="E931" s="129" t="s">
        <v>426</v>
      </c>
      <c r="G931" s="980">
        <v>2593.1</v>
      </c>
      <c r="H931" s="295">
        <f t="shared" si="33"/>
        <v>153.156305</v>
      </c>
      <c r="I931" s="980">
        <f t="shared" si="32"/>
        <v>15255.978055</v>
      </c>
    </row>
    <row r="932" spans="5:9" x14ac:dyDescent="0.2">
      <c r="E932" s="129" t="s">
        <v>1276</v>
      </c>
      <c r="G932" s="980">
        <v>2804.4</v>
      </c>
      <c r="H932" s="295">
        <f t="shared" si="33"/>
        <v>153.156305</v>
      </c>
      <c r="I932" s="980">
        <f t="shared" si="32"/>
        <v>15467.278054999999</v>
      </c>
    </row>
    <row r="933" spans="5:9" x14ac:dyDescent="0.2">
      <c r="E933" s="129" t="s">
        <v>1277</v>
      </c>
      <c r="G933" s="980">
        <v>3437.3</v>
      </c>
      <c r="H933" s="295">
        <f t="shared" si="33"/>
        <v>153.156305</v>
      </c>
      <c r="I933" s="980">
        <f t="shared" si="32"/>
        <v>16100.178055</v>
      </c>
    </row>
    <row r="934" spans="5:9" x14ac:dyDescent="0.2">
      <c r="E934" s="129" t="s">
        <v>1278</v>
      </c>
      <c r="G934" s="980">
        <v>3859.9</v>
      </c>
      <c r="H934" s="295">
        <f t="shared" si="33"/>
        <v>153.156305</v>
      </c>
      <c r="I934" s="980">
        <f t="shared" si="32"/>
        <v>16522.778054999999</v>
      </c>
    </row>
    <row r="935" spans="5:9" x14ac:dyDescent="0.2">
      <c r="E935" s="129" t="s">
        <v>1279</v>
      </c>
      <c r="G935" s="980">
        <v>4071.2</v>
      </c>
      <c r="H935" s="295">
        <f t="shared" si="33"/>
        <v>153.156305</v>
      </c>
      <c r="I935" s="980">
        <f t="shared" si="32"/>
        <v>16734.078054999998</v>
      </c>
    </row>
    <row r="936" spans="5:9" x14ac:dyDescent="0.2">
      <c r="E936" s="129" t="s">
        <v>431</v>
      </c>
      <c r="G936" s="980">
        <v>4492.8</v>
      </c>
      <c r="H936" s="295">
        <f t="shared" si="33"/>
        <v>153.156305</v>
      </c>
      <c r="I936" s="980">
        <f t="shared" si="32"/>
        <v>17155.678055</v>
      </c>
    </row>
    <row r="937" spans="5:9" x14ac:dyDescent="0.2">
      <c r="E937" s="129" t="s">
        <v>432</v>
      </c>
      <c r="G937" s="980">
        <v>4915.3999999999996</v>
      </c>
      <c r="H937" s="295">
        <f t="shared" si="33"/>
        <v>153.156305</v>
      </c>
      <c r="I937" s="980">
        <f t="shared" si="32"/>
        <v>17578.278054999999</v>
      </c>
    </row>
    <row r="938" spans="5:9" x14ac:dyDescent="0.2">
      <c r="E938" s="129" t="s">
        <v>433</v>
      </c>
      <c r="G938" s="980">
        <v>5126.7</v>
      </c>
      <c r="H938" s="295">
        <f t="shared" si="33"/>
        <v>153.156305</v>
      </c>
      <c r="I938" s="980">
        <f t="shared" si="32"/>
        <v>17789.578054999998</v>
      </c>
    </row>
    <row r="939" spans="5:9" x14ac:dyDescent="0.2">
      <c r="E939" s="129" t="s">
        <v>434</v>
      </c>
      <c r="G939" s="980">
        <v>5548.3</v>
      </c>
      <c r="H939" s="295">
        <f t="shared" si="33"/>
        <v>153.156305</v>
      </c>
      <c r="I939" s="980">
        <f t="shared" si="32"/>
        <v>18211.178055</v>
      </c>
    </row>
    <row r="940" spans="5:9" x14ac:dyDescent="0.2">
      <c r="E940" s="129" t="s">
        <v>435</v>
      </c>
      <c r="G940" s="980">
        <v>5759.6</v>
      </c>
      <c r="H940" s="295">
        <f t="shared" si="33"/>
        <v>153.156305</v>
      </c>
      <c r="I940" s="980">
        <f t="shared" si="32"/>
        <v>18422.478055</v>
      </c>
    </row>
    <row r="941" spans="5:9" x14ac:dyDescent="0.2">
      <c r="E941" s="129" t="s">
        <v>436</v>
      </c>
      <c r="G941" s="980">
        <v>6182.2</v>
      </c>
      <c r="H941" s="295">
        <f t="shared" si="33"/>
        <v>153.156305</v>
      </c>
      <c r="I941" s="980">
        <f t="shared" si="32"/>
        <v>18845.078054999998</v>
      </c>
    </row>
    <row r="942" spans="5:9" x14ac:dyDescent="0.2">
      <c r="E942" s="129" t="s">
        <v>437</v>
      </c>
      <c r="G942" s="980">
        <v>6603.81</v>
      </c>
      <c r="H942" s="295">
        <f t="shared" si="33"/>
        <v>153.156305</v>
      </c>
      <c r="I942" s="980">
        <f t="shared" si="32"/>
        <v>19266.688054999999</v>
      </c>
    </row>
    <row r="943" spans="5:9" x14ac:dyDescent="0.2">
      <c r="E943" s="129" t="s">
        <v>438</v>
      </c>
      <c r="G943" s="980">
        <v>6815.11</v>
      </c>
      <c r="H943" s="295">
        <f t="shared" si="33"/>
        <v>153.156305</v>
      </c>
      <c r="I943" s="980">
        <f t="shared" si="32"/>
        <v>19477.988054999998</v>
      </c>
    </row>
    <row r="944" spans="5:9" x14ac:dyDescent="0.2">
      <c r="E944" s="129" t="s">
        <v>439</v>
      </c>
      <c r="G944" s="980">
        <v>7237.71</v>
      </c>
      <c r="H944" s="295">
        <f t="shared" si="33"/>
        <v>153.156305</v>
      </c>
      <c r="I944" s="980">
        <f t="shared" si="32"/>
        <v>19900.588055</v>
      </c>
    </row>
    <row r="945" spans="1:10" x14ac:dyDescent="0.2">
      <c r="E945" s="129" t="s">
        <v>440</v>
      </c>
      <c r="G945" s="980">
        <v>7660.31</v>
      </c>
      <c r="H945" s="295">
        <f t="shared" si="33"/>
        <v>153.156305</v>
      </c>
      <c r="I945" s="980">
        <f t="shared" si="32"/>
        <v>20323.188054999999</v>
      </c>
    </row>
    <row r="946" spans="1:10" x14ac:dyDescent="0.2">
      <c r="E946" s="129" t="s">
        <v>441</v>
      </c>
      <c r="G946" s="980">
        <v>7870.61</v>
      </c>
      <c r="H946" s="295">
        <f t="shared" si="33"/>
        <v>153.156305</v>
      </c>
      <c r="I946" s="980">
        <f t="shared" si="32"/>
        <v>20533.488054999998</v>
      </c>
    </row>
    <row r="947" spans="1:10" x14ac:dyDescent="0.2">
      <c r="E947" s="129" t="s">
        <v>442</v>
      </c>
      <c r="G947" s="980">
        <v>8293.2099999999991</v>
      </c>
      <c r="H947" s="295">
        <f t="shared" si="33"/>
        <v>153.156305</v>
      </c>
      <c r="I947" s="980">
        <f t="shared" si="32"/>
        <v>20956.088054999997</v>
      </c>
    </row>
    <row r="948" spans="1:10" x14ac:dyDescent="0.2">
      <c r="E948" s="129" t="s">
        <v>443</v>
      </c>
      <c r="G948" s="980">
        <v>8715.81</v>
      </c>
      <c r="H948" s="295">
        <f t="shared" si="33"/>
        <v>153.156305</v>
      </c>
      <c r="I948" s="980">
        <f t="shared" si="32"/>
        <v>21378.688054999999</v>
      </c>
    </row>
    <row r="949" spans="1:10" x14ac:dyDescent="0.2">
      <c r="E949" s="536"/>
      <c r="F949" s="324"/>
      <c r="G949" s="980"/>
      <c r="H949" s="295"/>
      <c r="I949" s="149"/>
    </row>
    <row r="950" spans="1:10" s="1928" customFormat="1" ht="26.45" customHeight="1" x14ac:dyDescent="0.2">
      <c r="A950" s="1969"/>
      <c r="B950" s="1976"/>
      <c r="C950" s="2059" t="s">
        <v>1280</v>
      </c>
      <c r="D950" s="2059"/>
      <c r="E950" s="2059"/>
      <c r="F950" s="2059"/>
      <c r="G950" s="2059"/>
      <c r="H950" s="2059"/>
      <c r="I950" s="2059"/>
      <c r="J950" s="1928" t="s">
        <v>1286</v>
      </c>
    </row>
    <row r="951" spans="1:10" s="1928" customFormat="1" x14ac:dyDescent="0.2">
      <c r="A951" s="1969"/>
      <c r="B951" s="1976"/>
      <c r="D951" s="1977">
        <f>'C well'!K23</f>
        <v>0.27500000000000002</v>
      </c>
      <c r="G951" s="1978"/>
      <c r="H951" s="1971"/>
    </row>
    <row r="952" spans="1:10" s="1928" customFormat="1" x14ac:dyDescent="0.2">
      <c r="A952" s="1969"/>
      <c r="B952" s="1976"/>
      <c r="C952" s="1979">
        <v>1</v>
      </c>
      <c r="D952" s="1928" t="s">
        <v>20</v>
      </c>
      <c r="E952" s="1928" t="s">
        <v>1283</v>
      </c>
      <c r="H952" s="1971"/>
      <c r="I952" s="1968">
        <f>I922</f>
        <v>8709.2999999999993</v>
      </c>
    </row>
    <row r="953" spans="1:10" s="1928" customFormat="1" x14ac:dyDescent="0.2">
      <c r="A953" s="1969"/>
      <c r="B953" s="1976"/>
      <c r="C953" s="1971">
        <f>1/D951</f>
        <v>3.6363636363636362</v>
      </c>
      <c r="D953" s="1928" t="s">
        <v>1087</v>
      </c>
      <c r="E953" s="1980" t="s">
        <v>1284</v>
      </c>
      <c r="F953" s="1971">
        <f>SSR!$E$35</f>
        <v>1115</v>
      </c>
      <c r="H953" s="1981"/>
      <c r="I953" s="1971">
        <f>C953*F953</f>
        <v>4054.5454545454545</v>
      </c>
    </row>
    <row r="954" spans="1:10" s="1928" customFormat="1" x14ac:dyDescent="0.2">
      <c r="A954" s="1969"/>
      <c r="B954" s="1976"/>
      <c r="C954" s="1971">
        <f>+ROUND((('C well'!$L$20+'C well'!$L$21+'C well'!$L$22+'C well'!$L$23*0.5)-5)/2,0)</f>
        <v>6</v>
      </c>
      <c r="E954" s="1928" t="s">
        <v>1154</v>
      </c>
      <c r="F954" s="1969">
        <f>SSR!$E$7</f>
        <v>134</v>
      </c>
      <c r="I954" s="1928">
        <f>+F954*C954</f>
        <v>804</v>
      </c>
    </row>
    <row r="955" spans="1:10" s="1928" customFormat="1" x14ac:dyDescent="0.2">
      <c r="A955" s="1969"/>
      <c r="B955" s="1976"/>
      <c r="E955" s="1928" t="str">
        <f>+IF($I$4=0%,"---","Municipal allowance")</f>
        <v>Municipal allowance</v>
      </c>
      <c r="F955" s="1982">
        <f>$I$4</f>
        <v>0.2</v>
      </c>
      <c r="H955" s="1971"/>
      <c r="I955" s="1971">
        <f>(I953)*F955*0.25</f>
        <v>202.72727272727275</v>
      </c>
    </row>
    <row r="956" spans="1:10" s="1928" customFormat="1" x14ac:dyDescent="0.2">
      <c r="A956" s="1969"/>
      <c r="B956" s="1976"/>
      <c r="E956" s="1928" t="s">
        <v>2102</v>
      </c>
      <c r="F956" s="1982">
        <f>+$I$5</f>
        <v>0.13614999999999999</v>
      </c>
      <c r="H956" s="1971"/>
      <c r="I956" s="1971">
        <f>SUM(I953+I955+I954)*F956</f>
        <v>689.09228181818173</v>
      </c>
    </row>
    <row r="957" spans="1:10" s="1928" customFormat="1" x14ac:dyDescent="0.2">
      <c r="A957" s="1969"/>
      <c r="B957" s="1976"/>
      <c r="E957" s="1983" t="str">
        <f>+LOOKUP(C954,RAM!$O$163:$O$168,RAM!$N$163:$N$168)</f>
        <v>20-23mt</v>
      </c>
      <c r="F957" s="1969">
        <f>SSR!$E$7</f>
        <v>134</v>
      </c>
      <c r="H957" s="1984" t="s">
        <v>23</v>
      </c>
      <c r="I957" s="1985">
        <f>SUM(I952:I956)</f>
        <v>14459.665009090908</v>
      </c>
    </row>
    <row r="958" spans="1:10" s="1928" customFormat="1" x14ac:dyDescent="0.2">
      <c r="A958" s="1969"/>
      <c r="B958" s="1976"/>
      <c r="E958" s="1983" t="str">
        <f>+LOOKUP((C954+1),RAM!$O$163:$O$168,RAM!$N$163:$N$168)</f>
        <v>20-23mt</v>
      </c>
      <c r="F958" s="1976" t="s">
        <v>1282</v>
      </c>
      <c r="G958" s="1986">
        <f>+I957+$F957</f>
        <v>14593.665009090908</v>
      </c>
      <c r="H958" s="1971">
        <f>+($F955*($F957*0.25)+$F957)*$F956</f>
        <v>19.156304999999996</v>
      </c>
      <c r="I958" s="1987">
        <f>+G958+H958</f>
        <v>14612.821314090908</v>
      </c>
    </row>
    <row r="959" spans="1:10" s="1928" customFormat="1" x14ac:dyDescent="0.2">
      <c r="A959" s="1969"/>
      <c r="B959" s="1976"/>
      <c r="E959" s="1983"/>
      <c r="F959" s="1976"/>
      <c r="G959" s="1986"/>
      <c r="H959" s="1971"/>
      <c r="I959" s="1988"/>
    </row>
    <row r="960" spans="1:10" s="1928" customFormat="1" ht="27.75" customHeight="1" x14ac:dyDescent="0.2">
      <c r="A960" s="1969"/>
      <c r="B960" s="1976"/>
      <c r="C960" s="2059" t="s">
        <v>1287</v>
      </c>
      <c r="D960" s="2059"/>
      <c r="E960" s="2059"/>
      <c r="F960" s="2059"/>
      <c r="G960" s="2059"/>
      <c r="H960" s="2059"/>
      <c r="I960" s="2059"/>
      <c r="J960" s="1928" t="s">
        <v>1286</v>
      </c>
    </row>
    <row r="961" spans="1:10" s="1928" customFormat="1" x14ac:dyDescent="0.2">
      <c r="A961" s="1969"/>
      <c r="B961" s="1976"/>
      <c r="D961" s="1977">
        <f>'C well'!C9</f>
        <v>0.15</v>
      </c>
      <c r="G961" s="1978"/>
      <c r="H961" s="1971"/>
    </row>
    <row r="962" spans="1:10" s="1928" customFormat="1" x14ac:dyDescent="0.2">
      <c r="A962" s="1969"/>
      <c r="B962" s="1976"/>
      <c r="C962" s="1979">
        <v>1</v>
      </c>
      <c r="D962" s="1989" t="s">
        <v>20</v>
      </c>
      <c r="E962" s="1928" t="s">
        <v>1283</v>
      </c>
      <c r="H962" s="1971"/>
      <c r="I962" s="1968">
        <f>$I$126</f>
        <v>8136.6</v>
      </c>
    </row>
    <row r="963" spans="1:10" s="1928" customFormat="1" x14ac:dyDescent="0.2">
      <c r="A963" s="1969"/>
      <c r="B963" s="1976"/>
      <c r="C963" s="1971">
        <f>1/D961*1</f>
        <v>6.666666666666667</v>
      </c>
      <c r="D963" s="1928" t="s">
        <v>1087</v>
      </c>
      <c r="E963" s="1980" t="s">
        <v>1284</v>
      </c>
      <c r="F963" s="1971">
        <f>SSR!$E$35</f>
        <v>1115</v>
      </c>
      <c r="H963" s="1981"/>
      <c r="I963" s="1971">
        <f>C963*F963</f>
        <v>7433.3333333333339</v>
      </c>
    </row>
    <row r="964" spans="1:10" s="1928" customFormat="1" x14ac:dyDescent="0.2">
      <c r="A964" s="1969"/>
      <c r="B964" s="1976"/>
      <c r="C964" s="1971">
        <f>+ROUND((('C well'!$L$20+'C well'!$L$21+'C well'!$L$22+'C well'!$L$23+'C well'!$F$9*0.5)-5)/2,0)</f>
        <v>8</v>
      </c>
      <c r="E964" s="1928" t="s">
        <v>1154</v>
      </c>
      <c r="F964" s="1969">
        <f>SSR!$E$7</f>
        <v>134</v>
      </c>
      <c r="I964" s="1928">
        <f>+F964*C964</f>
        <v>1072</v>
      </c>
    </row>
    <row r="965" spans="1:10" s="1928" customFormat="1" x14ac:dyDescent="0.2">
      <c r="A965" s="1969"/>
      <c r="B965" s="1976"/>
      <c r="E965" s="1928" t="str">
        <f>+IF($I$4=0%,"---","Municipal allowance")</f>
        <v>Municipal allowance</v>
      </c>
      <c r="F965" s="1982">
        <f>$I$4</f>
        <v>0.2</v>
      </c>
      <c r="H965" s="1971"/>
      <c r="I965" s="1971">
        <f>(I963)*F965*0.25</f>
        <v>371.66666666666674</v>
      </c>
    </row>
    <row r="966" spans="1:10" s="1928" customFormat="1" x14ac:dyDescent="0.2">
      <c r="A966" s="1969"/>
      <c r="B966" s="1976"/>
      <c r="E966" s="1928" t="s">
        <v>2102</v>
      </c>
      <c r="F966" s="1973">
        <f>+$I$5</f>
        <v>0.13614999999999999</v>
      </c>
      <c r="H966" s="1971"/>
      <c r="I966" s="1971">
        <f>SUM(I963+I965+I964)*F966</f>
        <v>1208.60355</v>
      </c>
    </row>
    <row r="967" spans="1:10" s="1928" customFormat="1" x14ac:dyDescent="0.2">
      <c r="A967" s="1969"/>
      <c r="B967" s="1976"/>
      <c r="E967" s="1983" t="str">
        <f>+LOOKUP(C964,RAM!$O$163:$O$168,RAM!$N$163:$N$168)</f>
        <v>20-23mt</v>
      </c>
      <c r="F967" s="1969">
        <f>SSR!$E$7</f>
        <v>134</v>
      </c>
      <c r="H967" s="1984" t="s">
        <v>23</v>
      </c>
      <c r="I967" s="1985">
        <f>SUM(I962:I966)</f>
        <v>18222.203550000002</v>
      </c>
    </row>
    <row r="968" spans="1:10" s="1928" customFormat="1" x14ac:dyDescent="0.2">
      <c r="A968" s="1969"/>
      <c r="B968" s="1976"/>
      <c r="E968" s="1983" t="str">
        <f>+LOOKUP((C964+1),RAM!$O$163:$O$168,RAM!$N$163:$N$168)</f>
        <v>20-23mt</v>
      </c>
      <c r="F968" s="1976" t="s">
        <v>1282</v>
      </c>
      <c r="G968" s="1986">
        <f>+I967+$F967</f>
        <v>18356.203550000002</v>
      </c>
      <c r="H968" s="1971">
        <f>+($F965*($F967*0.25)+$F967)*$F966</f>
        <v>19.156304999999996</v>
      </c>
      <c r="I968" s="1987">
        <f>+G968+H968</f>
        <v>18375.359855000002</v>
      </c>
    </row>
    <row r="969" spans="1:10" s="1928" customFormat="1" x14ac:dyDescent="0.2">
      <c r="A969" s="1969"/>
      <c r="B969" s="1976"/>
      <c r="E969" s="1983"/>
      <c r="F969" s="1976"/>
      <c r="G969" s="1986"/>
      <c r="H969" s="1971"/>
      <c r="I969" s="1988"/>
    </row>
    <row r="970" spans="1:10" s="1928" customFormat="1" ht="40.9" customHeight="1" x14ac:dyDescent="0.2">
      <c r="A970" s="1969"/>
      <c r="B970" s="1976"/>
      <c r="C970" s="2060" t="s">
        <v>1238</v>
      </c>
      <c r="D970" s="2060"/>
      <c r="E970" s="2060"/>
      <c r="F970" s="2060"/>
      <c r="G970" s="2060"/>
      <c r="H970" s="2060"/>
      <c r="I970" s="2060"/>
      <c r="J970" s="1928" t="str">
        <f>J960</f>
        <v>Not updated</v>
      </c>
    </row>
    <row r="971" spans="1:10" s="1928" customFormat="1" x14ac:dyDescent="0.2">
      <c r="A971" s="1969"/>
      <c r="B971" s="1976"/>
      <c r="D971" s="1990">
        <f>RAM!E174*1000</f>
        <v>150</v>
      </c>
      <c r="E971" s="1928" t="s">
        <v>1083</v>
      </c>
      <c r="I971" s="1991"/>
    </row>
    <row r="972" spans="1:10" s="1928" customFormat="1" x14ac:dyDescent="0.2">
      <c r="A972" s="1969"/>
      <c r="B972" s="1976"/>
      <c r="C972" s="1971">
        <f>+(D971/1000)*10</f>
        <v>1.5</v>
      </c>
      <c r="D972" s="1928" t="s">
        <v>20</v>
      </c>
      <c r="E972" s="1928" t="s">
        <v>1221</v>
      </c>
      <c r="F972" s="1968">
        <f>$I$139</f>
        <v>6820.2</v>
      </c>
      <c r="G972" s="1928">
        <v>1</v>
      </c>
      <c r="H972" s="1928" t="s">
        <v>20</v>
      </c>
      <c r="I972" s="1971">
        <f>+F972*C972</f>
        <v>10230.299999999999</v>
      </c>
    </row>
    <row r="973" spans="1:10" s="1928" customFormat="1" x14ac:dyDescent="0.2">
      <c r="A973" s="1969"/>
      <c r="B973" s="1976"/>
      <c r="C973" s="1971">
        <f>1000/D971</f>
        <v>6.666666666666667</v>
      </c>
      <c r="D973" s="1928" t="s">
        <v>1087</v>
      </c>
      <c r="E973" s="1928" t="s">
        <v>1086</v>
      </c>
      <c r="F973" s="1992">
        <f>+IF(D971&lt;=150,SSR!$E$4,SSR!$E$5)</f>
        <v>389</v>
      </c>
      <c r="G973" s="1928">
        <v>1</v>
      </c>
      <c r="H973" s="1928" t="s">
        <v>1087</v>
      </c>
      <c r="I973" s="1971">
        <f>+F973*C973/G973</f>
        <v>2593.3333333333335</v>
      </c>
    </row>
    <row r="974" spans="1:10" s="1928" customFormat="1" x14ac:dyDescent="0.2">
      <c r="A974" s="1969"/>
      <c r="B974" s="1976"/>
      <c r="C974" s="1971">
        <v>18</v>
      </c>
      <c r="E974" s="1993" t="s">
        <v>1239</v>
      </c>
      <c r="F974" s="1992">
        <f>SSR!$E$7</f>
        <v>134</v>
      </c>
      <c r="G974" s="1994">
        <v>1</v>
      </c>
      <c r="H974" s="1995" t="s">
        <v>20</v>
      </c>
      <c r="I974" s="1971">
        <f>C974*F974</f>
        <v>2412</v>
      </c>
    </row>
    <row r="975" spans="1:10" s="1928" customFormat="1" x14ac:dyDescent="0.2">
      <c r="A975" s="1969"/>
      <c r="B975" s="1976"/>
      <c r="C975" s="1996"/>
      <c r="E975" s="1928" t="str">
        <f>+IF($I$4=0%,"---","Municipal allowance")</f>
        <v>Municipal allowance</v>
      </c>
      <c r="F975" s="1982">
        <f>$I$4</f>
        <v>0.2</v>
      </c>
      <c r="G975" s="1994"/>
      <c r="H975" s="1995"/>
      <c r="I975" s="1971">
        <f>(I973+I974)*0.25*F975</f>
        <v>250.26666666666671</v>
      </c>
    </row>
    <row r="976" spans="1:10" s="1928" customFormat="1" ht="13.5" thickBot="1" x14ac:dyDescent="0.25">
      <c r="A976" s="1969"/>
      <c r="B976" s="1976"/>
      <c r="C976" s="1971"/>
      <c r="E976" s="1928" t="s">
        <v>2102</v>
      </c>
      <c r="F976" s="1973">
        <f>+$I$5</f>
        <v>0.13614999999999999</v>
      </c>
      <c r="I976" s="1988">
        <f>SUM(I973:I975)*F976</f>
        <v>715.54993999999999</v>
      </c>
    </row>
    <row r="977" spans="1:11" s="1928" customFormat="1" ht="13.5" thickBot="1" x14ac:dyDescent="0.25">
      <c r="A977" s="1969"/>
      <c r="B977" s="1976"/>
      <c r="C977" s="1971"/>
      <c r="F977" s="1971"/>
      <c r="H977" s="1969" t="s">
        <v>1089</v>
      </c>
      <c r="I977" s="1997">
        <f>ROUND(SUM(I972:I976),1)</f>
        <v>16201.4</v>
      </c>
    </row>
    <row r="978" spans="1:11" s="1928" customFormat="1" x14ac:dyDescent="0.2">
      <c r="A978" s="1969"/>
      <c r="B978" s="1976"/>
      <c r="C978" s="1971"/>
      <c r="F978" s="1971"/>
      <c r="H978" s="1998"/>
      <c r="I978" s="1999"/>
    </row>
    <row r="979" spans="1:11" s="1928" customFormat="1" ht="27.75" customHeight="1" x14ac:dyDescent="0.2">
      <c r="A979" s="1969"/>
      <c r="B979" s="1976"/>
      <c r="C979" s="2060" t="s">
        <v>1288</v>
      </c>
      <c r="D979" s="2060"/>
      <c r="E979" s="2060"/>
      <c r="F979" s="2060"/>
      <c r="G979" s="2060"/>
      <c r="H979" s="2060"/>
      <c r="I979" s="2060"/>
    </row>
    <row r="980" spans="1:11" s="1928" customFormat="1" x14ac:dyDescent="0.2">
      <c r="A980" s="1969"/>
      <c r="B980" s="1976"/>
      <c r="D980" s="1990">
        <f>RAM!E170*1000</f>
        <v>200</v>
      </c>
      <c r="E980" s="1928" t="s">
        <v>1083</v>
      </c>
      <c r="I980" s="1991"/>
      <c r="J980" s="1928" t="str">
        <f>J970</f>
        <v>Not updated</v>
      </c>
    </row>
    <row r="981" spans="1:11" s="1928" customFormat="1" x14ac:dyDescent="0.2">
      <c r="A981" s="1969"/>
      <c r="B981" s="1976"/>
      <c r="C981" s="1971">
        <f>+(D980/1000)*10</f>
        <v>2</v>
      </c>
      <c r="D981" s="1928" t="s">
        <v>20</v>
      </c>
      <c r="E981" s="1928" t="s">
        <v>1221</v>
      </c>
      <c r="F981" s="1968">
        <f>$I$139</f>
        <v>6820.2</v>
      </c>
      <c r="G981" s="1928">
        <v>1</v>
      </c>
      <c r="H981" s="1928" t="s">
        <v>20</v>
      </c>
      <c r="I981" s="1971">
        <f>+F981*C981</f>
        <v>13640.4</v>
      </c>
    </row>
    <row r="982" spans="1:11" s="1928" customFormat="1" x14ac:dyDescent="0.2">
      <c r="A982" s="1969"/>
      <c r="B982" s="1976"/>
      <c r="C982" s="1971">
        <f>1000/D980</f>
        <v>5</v>
      </c>
      <c r="D982" s="1928" t="s">
        <v>1087</v>
      </c>
      <c r="E982" s="1928" t="s">
        <v>1086</v>
      </c>
      <c r="F982" s="1992">
        <f>+IF(D980&lt;=150,SSR!$E$4,SSR!$E$5)</f>
        <v>418</v>
      </c>
      <c r="G982" s="1928">
        <v>1</v>
      </c>
      <c r="H982" s="1928" t="s">
        <v>1087</v>
      </c>
      <c r="I982" s="1971">
        <f>+F982*C982/G982</f>
        <v>2090</v>
      </c>
    </row>
    <row r="983" spans="1:11" s="1928" customFormat="1" x14ac:dyDescent="0.2">
      <c r="A983" s="1969"/>
      <c r="B983" s="1976"/>
      <c r="C983" s="1971">
        <v>13</v>
      </c>
      <c r="E983" s="1993" t="s">
        <v>1239</v>
      </c>
      <c r="F983" s="1992">
        <f>SSR!$E$7</f>
        <v>134</v>
      </c>
      <c r="G983" s="1994">
        <v>1</v>
      </c>
      <c r="H983" s="1995" t="s">
        <v>20</v>
      </c>
      <c r="I983" s="1971">
        <f>C983*F983</f>
        <v>1742</v>
      </c>
    </row>
    <row r="984" spans="1:11" s="1928" customFormat="1" x14ac:dyDescent="0.2">
      <c r="A984" s="1969"/>
      <c r="B984" s="1976"/>
      <c r="C984" s="1996"/>
      <c r="E984" s="1928" t="str">
        <f>+IF($I$4=0%,"---","Municipal allowance")</f>
        <v>Municipal allowance</v>
      </c>
      <c r="F984" s="1982">
        <f>$I$4</f>
        <v>0.2</v>
      </c>
      <c r="G984" s="1994"/>
      <c r="H984" s="1995"/>
      <c r="I984" s="1971">
        <f>(I982+I983)*0.25*F984</f>
        <v>191.60000000000002</v>
      </c>
    </row>
    <row r="985" spans="1:11" s="1928" customFormat="1" ht="13.5" thickBot="1" x14ac:dyDescent="0.25">
      <c r="A985" s="1969"/>
      <c r="B985" s="1976"/>
      <c r="C985" s="1971"/>
      <c r="E985" s="1928" t="s">
        <v>2102</v>
      </c>
      <c r="F985" s="1973">
        <f>+$I$5</f>
        <v>0.13614999999999999</v>
      </c>
      <c r="I985" s="1988">
        <f>SUM(I982:I984)*F985</f>
        <v>547.81313999999998</v>
      </c>
    </row>
    <row r="986" spans="1:11" s="1928" customFormat="1" ht="13.5" thickBot="1" x14ac:dyDescent="0.25">
      <c r="A986" s="1969"/>
      <c r="B986" s="1976"/>
      <c r="C986" s="1971"/>
      <c r="F986" s="1971"/>
      <c r="H986" s="1969" t="s">
        <v>1089</v>
      </c>
      <c r="I986" s="1997">
        <f>ROUND(SUM(I981:I985),1)</f>
        <v>18211.8</v>
      </c>
      <c r="J986" s="1971"/>
      <c r="K986" s="1971"/>
    </row>
    <row r="987" spans="1:11" s="1928" customFormat="1" x14ac:dyDescent="0.2">
      <c r="A987" s="1969"/>
      <c r="B987" s="1976"/>
      <c r="C987" s="1971"/>
      <c r="F987" s="1971"/>
      <c r="H987" s="1998"/>
      <c r="I987" s="1999"/>
      <c r="J987" s="1971"/>
      <c r="K987" s="1971"/>
    </row>
    <row r="988" spans="1:11" s="1928" customFormat="1" ht="29.25" customHeight="1" x14ac:dyDescent="0.2">
      <c r="A988" s="1969"/>
      <c r="B988" s="2000">
        <f>COUNT($B$29:B986)+1</f>
        <v>53</v>
      </c>
      <c r="C988" s="2061" t="s">
        <v>2083</v>
      </c>
      <c r="D988" s="2061"/>
      <c r="E988" s="2061"/>
      <c r="F988" s="2061"/>
      <c r="G988" s="2061"/>
      <c r="H988" s="2061"/>
      <c r="I988" s="2061"/>
      <c r="J988" s="2061" t="str">
        <f>J980</f>
        <v>Not updated</v>
      </c>
      <c r="K988" s="2061"/>
    </row>
    <row r="989" spans="1:11" s="1928" customFormat="1" x14ac:dyDescent="0.2">
      <c r="A989" s="1969"/>
      <c r="B989" s="2000"/>
      <c r="C989" s="2001"/>
      <c r="D989" s="2002"/>
      <c r="E989" s="2002"/>
      <c r="F989" s="2003"/>
      <c r="G989" s="2003"/>
      <c r="H989" s="2002"/>
      <c r="I989" s="2002"/>
      <c r="J989" s="2002"/>
      <c r="K989" s="2002"/>
    </row>
    <row r="990" spans="1:11" s="1928" customFormat="1" x14ac:dyDescent="0.2">
      <c r="A990" s="1969"/>
      <c r="B990" s="1976"/>
      <c r="C990" s="2004">
        <v>1</v>
      </c>
      <c r="D990" s="1928" t="s">
        <v>20</v>
      </c>
      <c r="E990" s="1928" t="s">
        <v>1221</v>
      </c>
      <c r="F990" s="1971">
        <f>$I$389</f>
        <v>8304.7000000000007</v>
      </c>
      <c r="G990" s="1928">
        <v>1</v>
      </c>
      <c r="H990" s="1928" t="s">
        <v>20</v>
      </c>
      <c r="I990" s="1971">
        <f>+F990*C990</f>
        <v>8304.7000000000007</v>
      </c>
    </row>
    <row r="991" spans="1:11" s="1928" customFormat="1" x14ac:dyDescent="0.2">
      <c r="A991" s="1969"/>
      <c r="B991" s="1976"/>
      <c r="C991" s="2004">
        <v>1</v>
      </c>
      <c r="D991" s="1928" t="s">
        <v>20</v>
      </c>
      <c r="E991" s="1928" t="s">
        <v>1086</v>
      </c>
      <c r="F991" s="1992">
        <f>F609</f>
        <v>3428</v>
      </c>
      <c r="G991" s="1928">
        <v>1</v>
      </c>
      <c r="H991" s="1928" t="s">
        <v>20</v>
      </c>
      <c r="I991" s="1971">
        <f>+F991*C991</f>
        <v>3428</v>
      </c>
      <c r="J991" s="1928" t="s">
        <v>1243</v>
      </c>
    </row>
    <row r="992" spans="1:11" s="1928" customFormat="1" x14ac:dyDescent="0.2">
      <c r="A992" s="1969"/>
      <c r="B992" s="1976"/>
      <c r="C992" s="2004">
        <v>17</v>
      </c>
      <c r="D992" s="1928" t="s">
        <v>1289</v>
      </c>
      <c r="E992" s="1993" t="s">
        <v>1239</v>
      </c>
      <c r="F992" s="1992">
        <f>F983</f>
        <v>134</v>
      </c>
      <c r="G992" s="1928">
        <f>G983</f>
        <v>1</v>
      </c>
      <c r="H992" s="1928" t="str">
        <f>H983</f>
        <v>Cum</v>
      </c>
      <c r="I992" s="1971">
        <f>C992*F992</f>
        <v>2278</v>
      </c>
    </row>
    <row r="993" spans="1:12" s="1928" customFormat="1" x14ac:dyDescent="0.2">
      <c r="A993" s="1969"/>
      <c r="B993" s="1976"/>
      <c r="C993" s="1971"/>
      <c r="E993" s="1928" t="str">
        <f>+IF($I$4=0%,"---","Municipal allowance")</f>
        <v>Municipal allowance</v>
      </c>
      <c r="F993" s="1982">
        <f>$I$4</f>
        <v>0.2</v>
      </c>
      <c r="I993" s="1971">
        <f>I991*0.25*F993</f>
        <v>171.4</v>
      </c>
    </row>
    <row r="994" spans="1:12" s="1928" customFormat="1" ht="13.5" thickBot="1" x14ac:dyDescent="0.25">
      <c r="A994" s="1969"/>
      <c r="B994" s="1976"/>
      <c r="C994" s="1971"/>
      <c r="E994" s="1928" t="s">
        <v>2102</v>
      </c>
      <c r="F994" s="1971"/>
      <c r="G994" s="1973">
        <f>+$I$5</f>
        <v>0.13614999999999999</v>
      </c>
      <c r="I994" s="1988">
        <f>(I991+I992+I993)*G994</f>
        <v>800.20800999999994</v>
      </c>
    </row>
    <row r="995" spans="1:12" s="1928" customFormat="1" ht="13.5" thickBot="1" x14ac:dyDescent="0.25">
      <c r="A995" s="1969"/>
      <c r="B995" s="1976"/>
      <c r="H995" s="1928" t="s">
        <v>23</v>
      </c>
      <c r="I995" s="1997">
        <f>ROUND(SUM(I990:I994),1)</f>
        <v>14982.3</v>
      </c>
    </row>
    <row r="996" spans="1:12" x14ac:dyDescent="0.2">
      <c r="A996" s="933"/>
      <c r="I996" s="941"/>
    </row>
    <row r="997" spans="1:12" ht="18" x14ac:dyDescent="0.25">
      <c r="B997" s="1064"/>
      <c r="C997" s="1066"/>
      <c r="D997" s="1063"/>
      <c r="E997" s="1099" t="s">
        <v>2111</v>
      </c>
      <c r="F997" s="1972" t="s">
        <v>2134</v>
      </c>
      <c r="G997" s="1063"/>
      <c r="H997" s="1100"/>
      <c r="I997" s="1101"/>
      <c r="J997" s="295"/>
      <c r="K997" s="1102"/>
      <c r="L997" s="422"/>
    </row>
    <row r="998" spans="1:12" ht="40.9" customHeight="1" x14ac:dyDescent="0.2">
      <c r="C998" s="2054" t="s">
        <v>2112</v>
      </c>
      <c r="D998" s="2054"/>
      <c r="E998" s="2054"/>
      <c r="F998" s="2054"/>
      <c r="G998" s="2054"/>
      <c r="H998" s="2054"/>
      <c r="I998" s="2054"/>
      <c r="J998" s="295"/>
      <c r="K998" s="295"/>
    </row>
    <row r="999" spans="1:12" x14ac:dyDescent="0.2">
      <c r="F999" s="1050">
        <f>'OHBR-Col'!F7-'OHBR-Col'!E8</f>
        <v>0.15000000000000002</v>
      </c>
      <c r="G999" s="1083">
        <f>'OHBR-Col'!E7</f>
        <v>0.5</v>
      </c>
      <c r="J999" s="295"/>
      <c r="K999" s="295"/>
    </row>
    <row r="1000" spans="1:12" x14ac:dyDescent="0.2">
      <c r="C1000" s="1084">
        <v>1</v>
      </c>
      <c r="D1000" s="536" t="s">
        <v>20</v>
      </c>
      <c r="E1000" s="130" t="s">
        <v>1271</v>
      </c>
      <c r="F1000" s="970">
        <f>$I$389</f>
        <v>8304.7000000000007</v>
      </c>
      <c r="G1000" s="129">
        <v>1</v>
      </c>
      <c r="H1000" s="129" t="s">
        <v>20</v>
      </c>
      <c r="I1000" s="295">
        <f>C1000*F1000</f>
        <v>8304.7000000000007</v>
      </c>
    </row>
    <row r="1001" spans="1:12" x14ac:dyDescent="0.2">
      <c r="C1001" s="1084">
        <f>+(1/(G999*F999))*(2*F999)</f>
        <v>4</v>
      </c>
      <c r="D1001" s="129" t="s">
        <v>1087</v>
      </c>
      <c r="E1001" s="129" t="s">
        <v>1086</v>
      </c>
      <c r="F1001" s="970">
        <f>SSR!$E$12</f>
        <v>1206</v>
      </c>
      <c r="G1001" s="129">
        <v>1</v>
      </c>
      <c r="H1001" s="129" t="s">
        <v>20</v>
      </c>
      <c r="I1001" s="295">
        <f>+F1001*C1001</f>
        <v>4824</v>
      </c>
    </row>
    <row r="1002" spans="1:12" x14ac:dyDescent="0.2">
      <c r="C1002" s="295"/>
      <c r="D1002" s="536"/>
      <c r="E1002" s="129" t="s">
        <v>1290</v>
      </c>
      <c r="F1002" s="1103">
        <f>RAM!$H$130/100</f>
        <v>0.27</v>
      </c>
      <c r="G1002" s="960"/>
      <c r="H1002" s="295"/>
      <c r="I1002" s="295">
        <f>ROUND(I1001*F1002,1)</f>
        <v>1302.5</v>
      </c>
    </row>
    <row r="1003" spans="1:12" x14ac:dyDescent="0.2">
      <c r="C1003" s="295"/>
      <c r="D1003" s="536"/>
      <c r="E1003" s="129" t="str">
        <f>+IF($I$4=0%,"---","Municipal allowance")</f>
        <v>Municipal allowance</v>
      </c>
      <c r="F1003" s="928">
        <f>$I$4</f>
        <v>0.2</v>
      </c>
      <c r="G1003" s="960"/>
      <c r="H1003" s="295"/>
      <c r="I1003" s="295">
        <f>(I1001+I1002)*F1003*0.25</f>
        <v>306.32499999999999</v>
      </c>
    </row>
    <row r="1004" spans="1:12" x14ac:dyDescent="0.2">
      <c r="C1004" s="295"/>
      <c r="D1004" s="536"/>
      <c r="E1004" s="129" t="s">
        <v>2102</v>
      </c>
      <c r="F1004" s="295"/>
      <c r="G1004" s="1940">
        <f>+$I$5</f>
        <v>0.13614999999999999</v>
      </c>
      <c r="H1004" s="295"/>
      <c r="I1004" s="295">
        <f>ROUND(SUM(I1001:I1003)*G1004,1)</f>
        <v>875.8</v>
      </c>
    </row>
    <row r="1005" spans="1:12" x14ac:dyDescent="0.2">
      <c r="F1005" s="928"/>
      <c r="G1005" s="138"/>
      <c r="H1005" s="295"/>
      <c r="I1005" s="295"/>
    </row>
    <row r="1006" spans="1:12" ht="13.5" thickBot="1" x14ac:dyDescent="0.25">
      <c r="A1006" s="933"/>
      <c r="H1006" s="138" t="s">
        <v>23</v>
      </c>
      <c r="I1006" s="1087">
        <f>ROUND(SUM(I1000:I1005),1)</f>
        <v>15613.3</v>
      </c>
    </row>
    <row r="1007" spans="1:12" ht="13.5" thickTop="1" x14ac:dyDescent="0.2">
      <c r="A1007" s="933"/>
      <c r="H1007" s="138"/>
      <c r="I1007" s="984"/>
    </row>
    <row r="1008" spans="1:12" ht="24.6" customHeight="1" x14ac:dyDescent="0.2">
      <c r="C1008" s="2058" t="s">
        <v>2113</v>
      </c>
      <c r="D1008" s="2058"/>
      <c r="E1008" s="2058"/>
      <c r="F1008" s="2058"/>
      <c r="G1008" s="2058"/>
      <c r="H1008" s="2058"/>
      <c r="I1008" s="2058"/>
    </row>
    <row r="1009" spans="3:10" x14ac:dyDescent="0.2">
      <c r="C1009" s="130"/>
      <c r="F1009" s="1050">
        <f>'OHBR-Col'!E4</f>
        <v>0.45</v>
      </c>
      <c r="G1009" s="1050">
        <f>'OHBR-Col'!F4</f>
        <v>0.45</v>
      </c>
      <c r="H1009" s="295"/>
    </row>
    <row r="1010" spans="3:10" x14ac:dyDescent="0.2">
      <c r="C1010" s="129">
        <v>1</v>
      </c>
      <c r="D1010" s="129" t="s">
        <v>20</v>
      </c>
      <c r="E1010" s="129" t="s">
        <v>1283</v>
      </c>
      <c r="H1010" s="295"/>
      <c r="I1010" s="970">
        <f>$I$402</f>
        <v>8709.2999999999993</v>
      </c>
    </row>
    <row r="1011" spans="3:10" x14ac:dyDescent="0.2">
      <c r="C1011" s="129">
        <f>+ROUND((1/(F1009*G1009))*(F1009+G1009)*2,1)</f>
        <v>8.9</v>
      </c>
      <c r="D1011" s="536" t="s">
        <v>1087</v>
      </c>
      <c r="E1011" s="130" t="s">
        <v>1291</v>
      </c>
      <c r="F1011" s="932">
        <f>SSR!E21</f>
        <v>1099</v>
      </c>
      <c r="G1011" s="1093" t="s">
        <v>1292</v>
      </c>
      <c r="I1011" s="295">
        <f>C1011*F1011</f>
        <v>9781.1</v>
      </c>
    </row>
    <row r="1012" spans="3:10" x14ac:dyDescent="0.2">
      <c r="D1012" s="536"/>
      <c r="E1012" s="130"/>
      <c r="F1012" s="932"/>
      <c r="G1012" s="1093"/>
      <c r="I1012" s="295"/>
    </row>
    <row r="1013" spans="3:10" x14ac:dyDescent="0.2">
      <c r="D1013" s="536"/>
      <c r="E1013" s="129" t="s">
        <v>1290</v>
      </c>
      <c r="F1013" s="1103">
        <f>RAM!H130/100</f>
        <v>0.27</v>
      </c>
      <c r="H1013" s="295"/>
      <c r="I1013" s="295">
        <f>F1013*I1011</f>
        <v>2640.8970000000004</v>
      </c>
    </row>
    <row r="1014" spans="3:10" x14ac:dyDescent="0.2">
      <c r="D1014" s="536"/>
      <c r="E1014" s="129" t="str">
        <f>+IF($I$4=0%,"---","Municipal allowance")</f>
        <v>Municipal allowance</v>
      </c>
      <c r="F1014" s="928">
        <f>$I$4</f>
        <v>0.2</v>
      </c>
      <c r="H1014" s="295"/>
      <c r="I1014" s="295">
        <f>(I1011+I1013)*F1014*0.25</f>
        <v>621.09985000000006</v>
      </c>
    </row>
    <row r="1015" spans="3:10" x14ac:dyDescent="0.2">
      <c r="E1015" s="139" t="str">
        <f>$E$58</f>
        <v>Overheads &amp; cp</v>
      </c>
      <c r="F1015" s="931">
        <f>+$I$5</f>
        <v>0.13614999999999999</v>
      </c>
      <c r="G1015" s="931"/>
      <c r="H1015" s="295"/>
      <c r="I1015" s="295">
        <f>ROUND(SUM(I1011:I1014)*F1015,1)</f>
        <v>1775.8</v>
      </c>
    </row>
    <row r="1016" spans="3:10" x14ac:dyDescent="0.2">
      <c r="E1016" s="129" t="s">
        <v>420</v>
      </c>
      <c r="H1016" s="1097" t="s">
        <v>23</v>
      </c>
      <c r="I1016" s="1104">
        <f>SUM(I1010:I1015)</f>
        <v>23528.19685</v>
      </c>
    </row>
    <row r="1017" spans="3:10" x14ac:dyDescent="0.2">
      <c r="C1017" s="129">
        <v>1</v>
      </c>
      <c r="D1017" s="129" t="s">
        <v>1293</v>
      </c>
      <c r="E1017" s="129" t="s">
        <v>422</v>
      </c>
      <c r="F1017" s="417">
        <f>SSR!$E$7</f>
        <v>134</v>
      </c>
      <c r="G1017" s="980">
        <f>+I1016+$F$1017</f>
        <v>23662.19685</v>
      </c>
      <c r="H1017" s="295">
        <f>+($F$1014*($F$1017*0.25)+$F$1017)*$F$1015</f>
        <v>19.156304999999996</v>
      </c>
      <c r="I1017" s="980">
        <f>+H1017+G1017</f>
        <v>23681.353155000001</v>
      </c>
      <c r="J1017" s="295"/>
    </row>
    <row r="1018" spans="3:10" x14ac:dyDescent="0.2">
      <c r="C1018" s="129">
        <v>1</v>
      </c>
      <c r="D1018" s="129" t="s">
        <v>1293</v>
      </c>
      <c r="E1018" s="129" t="s">
        <v>423</v>
      </c>
      <c r="F1018" s="324" t="s">
        <v>1282</v>
      </c>
      <c r="G1018" s="980">
        <f t="shared" ref="G1018:G1039" si="34">+I1017+$F$1017</f>
        <v>23815.353155000001</v>
      </c>
      <c r="H1018" s="295">
        <f t="shared" ref="H1018:H1039" si="35">+($F$1014*($F$1017*0.25)+$F$1017)*$F$1015</f>
        <v>19.156304999999996</v>
      </c>
      <c r="I1018" s="980">
        <f t="shared" ref="I1018:I1039" si="36">+G1018+H1018</f>
        <v>23834.509460000001</v>
      </c>
      <c r="J1018" s="295"/>
    </row>
    <row r="1019" spans="3:10" x14ac:dyDescent="0.2">
      <c r="C1019" s="129">
        <v>1</v>
      </c>
      <c r="D1019" s="129" t="s">
        <v>1293</v>
      </c>
      <c r="E1019" s="129" t="s">
        <v>424</v>
      </c>
      <c r="G1019" s="980">
        <f t="shared" si="34"/>
        <v>23968.509460000001</v>
      </c>
      <c r="H1019" s="295">
        <f t="shared" si="35"/>
        <v>19.156304999999996</v>
      </c>
      <c r="I1019" s="980">
        <f t="shared" si="36"/>
        <v>23987.665765000002</v>
      </c>
      <c r="J1019" s="295"/>
    </row>
    <row r="1020" spans="3:10" x14ac:dyDescent="0.2">
      <c r="C1020" s="129">
        <v>1</v>
      </c>
      <c r="D1020" s="129" t="s">
        <v>1293</v>
      </c>
      <c r="E1020" s="129" t="s">
        <v>425</v>
      </c>
      <c r="G1020" s="980">
        <f t="shared" si="34"/>
        <v>24121.665765000002</v>
      </c>
      <c r="H1020" s="295">
        <f t="shared" si="35"/>
        <v>19.156304999999996</v>
      </c>
      <c r="I1020" s="980">
        <f t="shared" si="36"/>
        <v>24140.822070000002</v>
      </c>
      <c r="J1020" s="295"/>
    </row>
    <row r="1021" spans="3:10" x14ac:dyDescent="0.2">
      <c r="C1021" s="129">
        <v>1</v>
      </c>
      <c r="D1021" s="129" t="s">
        <v>1293</v>
      </c>
      <c r="E1021" s="129" t="s">
        <v>426</v>
      </c>
      <c r="G1021" s="980">
        <f t="shared" si="34"/>
        <v>24274.822070000002</v>
      </c>
      <c r="H1021" s="295">
        <f t="shared" si="35"/>
        <v>19.156304999999996</v>
      </c>
      <c r="I1021" s="980">
        <f t="shared" si="36"/>
        <v>24293.978375000002</v>
      </c>
      <c r="J1021" s="295"/>
    </row>
    <row r="1022" spans="3:10" x14ac:dyDescent="0.2">
      <c r="C1022" s="129">
        <v>1</v>
      </c>
      <c r="D1022" s="129" t="s">
        <v>1293</v>
      </c>
      <c r="E1022" s="129" t="s">
        <v>427</v>
      </c>
      <c r="G1022" s="980">
        <f t="shared" si="34"/>
        <v>24427.978375000002</v>
      </c>
      <c r="H1022" s="295">
        <f t="shared" si="35"/>
        <v>19.156304999999996</v>
      </c>
      <c r="I1022" s="980">
        <f t="shared" si="36"/>
        <v>24447.134680000003</v>
      </c>
      <c r="J1022" s="295"/>
    </row>
    <row r="1023" spans="3:10" x14ac:dyDescent="0.2">
      <c r="C1023" s="129">
        <v>1</v>
      </c>
      <c r="D1023" s="129" t="s">
        <v>1293</v>
      </c>
      <c r="E1023" s="129" t="s">
        <v>428</v>
      </c>
      <c r="G1023" s="980">
        <f t="shared" si="34"/>
        <v>24581.134680000003</v>
      </c>
      <c r="H1023" s="295">
        <f t="shared" si="35"/>
        <v>19.156304999999996</v>
      </c>
      <c r="I1023" s="980">
        <f t="shared" si="36"/>
        <v>24600.290985000003</v>
      </c>
      <c r="J1023" s="295"/>
    </row>
    <row r="1024" spans="3:10" x14ac:dyDescent="0.2">
      <c r="C1024" s="129">
        <v>1</v>
      </c>
      <c r="D1024" s="129" t="s">
        <v>1293</v>
      </c>
      <c r="E1024" s="129" t="s">
        <v>429</v>
      </c>
      <c r="G1024" s="980">
        <f t="shared" si="34"/>
        <v>24734.290985000003</v>
      </c>
      <c r="H1024" s="295">
        <f t="shared" si="35"/>
        <v>19.156304999999996</v>
      </c>
      <c r="I1024" s="980">
        <f t="shared" si="36"/>
        <v>24753.447290000004</v>
      </c>
      <c r="J1024" s="295"/>
    </row>
    <row r="1025" spans="3:10" x14ac:dyDescent="0.2">
      <c r="C1025" s="129">
        <v>1</v>
      </c>
      <c r="D1025" s="129" t="s">
        <v>1293</v>
      </c>
      <c r="E1025" s="129" t="s">
        <v>430</v>
      </c>
      <c r="G1025" s="980">
        <f t="shared" si="34"/>
        <v>24887.447290000004</v>
      </c>
      <c r="H1025" s="295">
        <f t="shared" si="35"/>
        <v>19.156304999999996</v>
      </c>
      <c r="I1025" s="980">
        <f t="shared" si="36"/>
        <v>24906.603595000004</v>
      </c>
      <c r="J1025" s="295"/>
    </row>
    <row r="1026" spans="3:10" x14ac:dyDescent="0.2">
      <c r="C1026" s="129">
        <v>1</v>
      </c>
      <c r="D1026" s="129" t="s">
        <v>1293</v>
      </c>
      <c r="E1026" s="129" t="s">
        <v>431</v>
      </c>
      <c r="G1026" s="980">
        <f t="shared" si="34"/>
        <v>25040.603595000004</v>
      </c>
      <c r="H1026" s="295">
        <f t="shared" si="35"/>
        <v>19.156304999999996</v>
      </c>
      <c r="I1026" s="980">
        <f t="shared" si="36"/>
        <v>25059.759900000005</v>
      </c>
      <c r="J1026" s="295"/>
    </row>
    <row r="1027" spans="3:10" x14ac:dyDescent="0.2">
      <c r="C1027" s="129">
        <v>1</v>
      </c>
      <c r="D1027" s="129" t="s">
        <v>1293</v>
      </c>
      <c r="E1027" s="129" t="s">
        <v>432</v>
      </c>
      <c r="G1027" s="980">
        <f t="shared" si="34"/>
        <v>25193.759900000005</v>
      </c>
      <c r="H1027" s="295">
        <f t="shared" si="35"/>
        <v>19.156304999999996</v>
      </c>
      <c r="I1027" s="980">
        <f t="shared" si="36"/>
        <v>25212.916205000005</v>
      </c>
      <c r="J1027" s="295"/>
    </row>
    <row r="1028" spans="3:10" x14ac:dyDescent="0.2">
      <c r="C1028" s="129">
        <v>1</v>
      </c>
      <c r="D1028" s="129" t="s">
        <v>1293</v>
      </c>
      <c r="E1028" s="129" t="s">
        <v>433</v>
      </c>
      <c r="G1028" s="980">
        <f t="shared" si="34"/>
        <v>25346.916205000005</v>
      </c>
      <c r="H1028" s="295">
        <f t="shared" si="35"/>
        <v>19.156304999999996</v>
      </c>
      <c r="I1028" s="980">
        <f t="shared" si="36"/>
        <v>25366.072510000005</v>
      </c>
      <c r="J1028" s="295"/>
    </row>
    <row r="1029" spans="3:10" x14ac:dyDescent="0.2">
      <c r="C1029" s="129">
        <v>1</v>
      </c>
      <c r="D1029" s="129" t="s">
        <v>1293</v>
      </c>
      <c r="E1029" s="129" t="s">
        <v>434</v>
      </c>
      <c r="G1029" s="980">
        <f t="shared" si="34"/>
        <v>25500.072510000005</v>
      </c>
      <c r="H1029" s="295">
        <f t="shared" si="35"/>
        <v>19.156304999999996</v>
      </c>
      <c r="I1029" s="980">
        <f t="shared" si="36"/>
        <v>25519.228815000006</v>
      </c>
      <c r="J1029" s="295"/>
    </row>
    <row r="1030" spans="3:10" x14ac:dyDescent="0.2">
      <c r="C1030" s="129">
        <v>1</v>
      </c>
      <c r="D1030" s="129" t="s">
        <v>1293</v>
      </c>
      <c r="E1030" s="129" t="s">
        <v>435</v>
      </c>
      <c r="G1030" s="980">
        <f t="shared" si="34"/>
        <v>25653.228815000006</v>
      </c>
      <c r="H1030" s="295">
        <f t="shared" si="35"/>
        <v>19.156304999999996</v>
      </c>
      <c r="I1030" s="980">
        <f t="shared" si="36"/>
        <v>25672.385120000006</v>
      </c>
      <c r="J1030" s="295"/>
    </row>
    <row r="1031" spans="3:10" x14ac:dyDescent="0.2">
      <c r="C1031" s="129">
        <v>1</v>
      </c>
      <c r="D1031" s="129" t="s">
        <v>1293</v>
      </c>
      <c r="E1031" s="129" t="s">
        <v>436</v>
      </c>
      <c r="G1031" s="980">
        <f t="shared" si="34"/>
        <v>25806.385120000006</v>
      </c>
      <c r="H1031" s="295">
        <f t="shared" si="35"/>
        <v>19.156304999999996</v>
      </c>
      <c r="I1031" s="980">
        <f t="shared" si="36"/>
        <v>25825.541425000007</v>
      </c>
      <c r="J1031" s="295"/>
    </row>
    <row r="1032" spans="3:10" x14ac:dyDescent="0.2">
      <c r="C1032" s="129">
        <v>1</v>
      </c>
      <c r="D1032" s="129" t="s">
        <v>1293</v>
      </c>
      <c r="E1032" s="129" t="s">
        <v>437</v>
      </c>
      <c r="G1032" s="980">
        <f t="shared" si="34"/>
        <v>25959.541425000007</v>
      </c>
      <c r="H1032" s="295">
        <f t="shared" si="35"/>
        <v>19.156304999999996</v>
      </c>
      <c r="I1032" s="980">
        <f t="shared" si="36"/>
        <v>25978.697730000007</v>
      </c>
      <c r="J1032" s="295"/>
    </row>
    <row r="1033" spans="3:10" x14ac:dyDescent="0.2">
      <c r="C1033" s="129">
        <v>1</v>
      </c>
      <c r="D1033" s="129" t="s">
        <v>1293</v>
      </c>
      <c r="E1033" s="129" t="s">
        <v>438</v>
      </c>
      <c r="G1033" s="980">
        <f t="shared" si="34"/>
        <v>26112.697730000007</v>
      </c>
      <c r="H1033" s="295">
        <f t="shared" si="35"/>
        <v>19.156304999999996</v>
      </c>
      <c r="I1033" s="980">
        <f t="shared" si="36"/>
        <v>26131.854035000008</v>
      </c>
      <c r="J1033" s="295"/>
    </row>
    <row r="1034" spans="3:10" x14ac:dyDescent="0.2">
      <c r="C1034" s="129">
        <v>1</v>
      </c>
      <c r="D1034" s="129" t="s">
        <v>1293</v>
      </c>
      <c r="E1034" s="129" t="s">
        <v>439</v>
      </c>
      <c r="G1034" s="980">
        <f t="shared" si="34"/>
        <v>26265.854035000008</v>
      </c>
      <c r="H1034" s="295">
        <f t="shared" si="35"/>
        <v>19.156304999999996</v>
      </c>
      <c r="I1034" s="980">
        <f t="shared" si="36"/>
        <v>26285.010340000008</v>
      </c>
      <c r="J1034" s="295"/>
    </row>
    <row r="1035" spans="3:10" x14ac:dyDescent="0.2">
      <c r="C1035" s="129">
        <v>1</v>
      </c>
      <c r="D1035" s="129" t="s">
        <v>1293</v>
      </c>
      <c r="E1035" s="129" t="s">
        <v>440</v>
      </c>
      <c r="G1035" s="980">
        <f t="shared" si="34"/>
        <v>26419.010340000008</v>
      </c>
      <c r="H1035" s="295">
        <f t="shared" si="35"/>
        <v>19.156304999999996</v>
      </c>
      <c r="I1035" s="980">
        <f t="shared" si="36"/>
        <v>26438.166645000008</v>
      </c>
      <c r="J1035" s="295"/>
    </row>
    <row r="1036" spans="3:10" x14ac:dyDescent="0.2">
      <c r="C1036" s="129">
        <v>1</v>
      </c>
      <c r="D1036" s="129" t="s">
        <v>1293</v>
      </c>
      <c r="E1036" s="129" t="s">
        <v>441</v>
      </c>
      <c r="G1036" s="980">
        <f t="shared" si="34"/>
        <v>26572.166645000008</v>
      </c>
      <c r="H1036" s="295">
        <f t="shared" si="35"/>
        <v>19.156304999999996</v>
      </c>
      <c r="I1036" s="980">
        <f t="shared" si="36"/>
        <v>26591.322950000009</v>
      </c>
      <c r="J1036" s="295"/>
    </row>
    <row r="1037" spans="3:10" x14ac:dyDescent="0.2">
      <c r="C1037" s="129">
        <v>1</v>
      </c>
      <c r="D1037" s="129" t="s">
        <v>1293</v>
      </c>
      <c r="E1037" s="129" t="s">
        <v>442</v>
      </c>
      <c r="G1037" s="980">
        <f t="shared" si="34"/>
        <v>26725.322950000009</v>
      </c>
      <c r="H1037" s="295">
        <f t="shared" si="35"/>
        <v>19.156304999999996</v>
      </c>
      <c r="I1037" s="980">
        <f t="shared" si="36"/>
        <v>26744.479255000009</v>
      </c>
      <c r="J1037" s="295"/>
    </row>
    <row r="1038" spans="3:10" x14ac:dyDescent="0.2">
      <c r="C1038" s="129">
        <v>1</v>
      </c>
      <c r="D1038" s="129" t="s">
        <v>1293</v>
      </c>
      <c r="E1038" s="129" t="s">
        <v>443</v>
      </c>
      <c r="G1038" s="980">
        <f t="shared" si="34"/>
        <v>26878.479255000009</v>
      </c>
      <c r="H1038" s="295">
        <f t="shared" si="35"/>
        <v>19.156304999999996</v>
      </c>
      <c r="I1038" s="980">
        <f t="shared" si="36"/>
        <v>26897.63556000001</v>
      </c>
      <c r="J1038" s="295"/>
    </row>
    <row r="1039" spans="3:10" x14ac:dyDescent="0.2">
      <c r="C1039" s="129">
        <v>1</v>
      </c>
      <c r="D1039" s="129" t="s">
        <v>1293</v>
      </c>
      <c r="E1039" s="129" t="s">
        <v>444</v>
      </c>
      <c r="G1039" s="980">
        <f t="shared" si="34"/>
        <v>27031.63556000001</v>
      </c>
      <c r="H1039" s="295">
        <f t="shared" si="35"/>
        <v>19.156304999999996</v>
      </c>
      <c r="I1039" s="980">
        <f t="shared" si="36"/>
        <v>27050.79186500001</v>
      </c>
      <c r="J1039" s="295"/>
    </row>
    <row r="1040" spans="3:10" x14ac:dyDescent="0.2">
      <c r="G1040" s="980"/>
      <c r="H1040" s="295"/>
      <c r="I1040" s="295"/>
      <c r="J1040" s="295"/>
    </row>
    <row r="1041" spans="3:11" ht="30.6" customHeight="1" x14ac:dyDescent="0.2">
      <c r="C1041" s="2058" t="s">
        <v>2114</v>
      </c>
      <c r="D1041" s="2058"/>
      <c r="E1041" s="2058"/>
      <c r="F1041" s="2058"/>
      <c r="G1041" s="2058"/>
      <c r="H1041" s="2058"/>
      <c r="I1041" s="2058"/>
      <c r="J1041" s="295"/>
      <c r="K1041" s="295"/>
    </row>
    <row r="1042" spans="3:11" x14ac:dyDescent="0.2">
      <c r="C1042" s="130"/>
      <c r="J1042" s="295"/>
    </row>
    <row r="1043" spans="3:11" x14ac:dyDescent="0.2">
      <c r="F1043" s="1050">
        <f>'OHBR-Col'!E5</f>
        <v>0.55000000000000004</v>
      </c>
      <c r="G1043" s="1050">
        <f>'OHBR-Col'!F5</f>
        <v>0.4</v>
      </c>
      <c r="I1043" s="295"/>
      <c r="J1043" s="295"/>
    </row>
    <row r="1044" spans="3:11" x14ac:dyDescent="0.2">
      <c r="C1044" s="129">
        <v>1</v>
      </c>
      <c r="D1044" s="129" t="s">
        <v>20</v>
      </c>
      <c r="E1044" s="129" t="s">
        <v>1283</v>
      </c>
      <c r="F1044" s="1047"/>
      <c r="G1044" s="1047"/>
      <c r="I1044" s="970">
        <f>I1010</f>
        <v>8709.2999999999993</v>
      </c>
      <c r="J1044" s="295"/>
    </row>
    <row r="1045" spans="3:11" x14ac:dyDescent="0.2">
      <c r="C1045" s="295">
        <f>+(1/(F1043*G1043))*(2*F1043+G1043)</f>
        <v>6.8181818181818175</v>
      </c>
      <c r="D1045" s="536" t="s">
        <v>1087</v>
      </c>
      <c r="E1045" s="130" t="s">
        <v>1294</v>
      </c>
      <c r="F1045" s="295">
        <f>SSR!E21</f>
        <v>1099</v>
      </c>
      <c r="G1045" s="1093" t="s">
        <v>1292</v>
      </c>
      <c r="H1045" s="295"/>
      <c r="I1045" s="295">
        <f>C1045*F1045</f>
        <v>7493.1818181818171</v>
      </c>
    </row>
    <row r="1046" spans="3:11" x14ac:dyDescent="0.2">
      <c r="D1046" s="536"/>
      <c r="E1046" s="129" t="s">
        <v>1290</v>
      </c>
      <c r="F1046" s="1103">
        <f>RAM!$H$130/100</f>
        <v>0.27</v>
      </c>
      <c r="I1046" s="295">
        <f>F1046*I1045</f>
        <v>2023.1590909090908</v>
      </c>
      <c r="J1046" s="1093"/>
    </row>
    <row r="1047" spans="3:11" x14ac:dyDescent="0.2">
      <c r="D1047" s="536"/>
      <c r="E1047" s="129" t="str">
        <f>+IF($I$4=0%,"---","Municipal allowance")</f>
        <v>Municipal allowance</v>
      </c>
      <c r="F1047" s="928">
        <f>$I$4</f>
        <v>0.2</v>
      </c>
      <c r="I1047" s="295">
        <f>(I1045+I1046)*F1047*0.25</f>
        <v>475.81704545454545</v>
      </c>
      <c r="J1047" s="1093"/>
    </row>
    <row r="1048" spans="3:11" x14ac:dyDescent="0.2">
      <c r="E1048" s="139" t="str">
        <f>E1015</f>
        <v>Overheads &amp; cp</v>
      </c>
      <c r="F1048" s="1940">
        <f>+$I$5</f>
        <v>0.13614999999999999</v>
      </c>
      <c r="G1048" s="931"/>
      <c r="H1048" s="928"/>
      <c r="I1048" s="295">
        <f>SUM(I1045:I1047)*F1048</f>
        <v>1360.4323055113634</v>
      </c>
      <c r="J1048" s="295"/>
    </row>
    <row r="1049" spans="3:11" x14ac:dyDescent="0.2">
      <c r="H1049" s="295"/>
      <c r="I1049" s="1105"/>
      <c r="J1049" s="295"/>
    </row>
    <row r="1050" spans="3:11" x14ac:dyDescent="0.2">
      <c r="E1050" s="129" t="s">
        <v>1295</v>
      </c>
      <c r="H1050" s="138" t="s">
        <v>23</v>
      </c>
      <c r="I1050" s="984">
        <f>SUM(I1043:I1049)</f>
        <v>20061.890260056818</v>
      </c>
    </row>
    <row r="1051" spans="3:11" x14ac:dyDescent="0.2">
      <c r="C1051" s="129">
        <v>3</v>
      </c>
      <c r="D1051" s="129" t="s">
        <v>1293</v>
      </c>
      <c r="E1051" s="129" t="s">
        <v>1296</v>
      </c>
      <c r="F1051" s="417">
        <f>SSR!$E$7*3</f>
        <v>402</v>
      </c>
      <c r="G1051" s="941">
        <f t="shared" ref="G1051:G1056" si="37">I1050+$F$1051</f>
        <v>20463.890260056818</v>
      </c>
      <c r="H1051" s="686">
        <f t="shared" ref="H1051:H1056" si="38">+($F$1051*($F$1047*0.25)+$F$1051)*$F$1048</f>
        <v>57.468915000000003</v>
      </c>
      <c r="I1051" s="295">
        <f t="shared" ref="I1051:I1056" si="39">+G1051+H1051</f>
        <v>20521.359175056819</v>
      </c>
      <c r="J1051" s="295"/>
    </row>
    <row r="1052" spans="3:11" x14ac:dyDescent="0.2">
      <c r="C1052" s="129">
        <v>3</v>
      </c>
      <c r="D1052" s="129" t="s">
        <v>1293</v>
      </c>
      <c r="E1052" s="129" t="s">
        <v>1297</v>
      </c>
      <c r="F1052" s="324" t="s">
        <v>1282</v>
      </c>
      <c r="G1052" s="941">
        <f t="shared" si="37"/>
        <v>20923.359175056819</v>
      </c>
      <c r="H1052" s="686">
        <f t="shared" si="38"/>
        <v>57.468915000000003</v>
      </c>
      <c r="I1052" s="295">
        <f t="shared" si="39"/>
        <v>20980.828090056821</v>
      </c>
      <c r="J1052" s="295"/>
    </row>
    <row r="1053" spans="3:11" x14ac:dyDescent="0.2">
      <c r="C1053" s="129">
        <v>3</v>
      </c>
      <c r="D1053" s="129" t="s">
        <v>1293</v>
      </c>
      <c r="E1053" s="130" t="s">
        <v>458</v>
      </c>
      <c r="G1053" s="941">
        <f t="shared" si="37"/>
        <v>21382.828090056821</v>
      </c>
      <c r="H1053" s="686">
        <f t="shared" si="38"/>
        <v>57.468915000000003</v>
      </c>
      <c r="I1053" s="295">
        <f t="shared" si="39"/>
        <v>21440.297005056822</v>
      </c>
      <c r="J1053" s="295"/>
    </row>
    <row r="1054" spans="3:11" x14ac:dyDescent="0.2">
      <c r="C1054" s="129">
        <v>3</v>
      </c>
      <c r="D1054" s="129" t="s">
        <v>1293</v>
      </c>
      <c r="E1054" s="130" t="s">
        <v>1298</v>
      </c>
      <c r="G1054" s="941">
        <f t="shared" si="37"/>
        <v>21842.297005056822</v>
      </c>
      <c r="H1054" s="686">
        <f t="shared" si="38"/>
        <v>57.468915000000003</v>
      </c>
      <c r="I1054" s="295">
        <f t="shared" si="39"/>
        <v>21899.765920056823</v>
      </c>
      <c r="J1054" s="295"/>
    </row>
    <row r="1055" spans="3:11" x14ac:dyDescent="0.2">
      <c r="C1055" s="129">
        <v>3</v>
      </c>
      <c r="D1055" s="129" t="s">
        <v>1293</v>
      </c>
      <c r="E1055" s="129" t="s">
        <v>460</v>
      </c>
      <c r="G1055" s="941">
        <f t="shared" si="37"/>
        <v>22301.765920056823</v>
      </c>
      <c r="H1055" s="686">
        <f t="shared" si="38"/>
        <v>57.468915000000003</v>
      </c>
      <c r="I1055" s="295">
        <f t="shared" si="39"/>
        <v>22359.234835056825</v>
      </c>
      <c r="J1055" s="295"/>
    </row>
    <row r="1056" spans="3:11" x14ac:dyDescent="0.2">
      <c r="C1056" s="129">
        <v>3</v>
      </c>
      <c r="D1056" s="129" t="s">
        <v>1293</v>
      </c>
      <c r="E1056" s="129" t="s">
        <v>1299</v>
      </c>
      <c r="G1056" s="941">
        <f t="shared" si="37"/>
        <v>22761.234835056825</v>
      </c>
      <c r="H1056" s="686">
        <f t="shared" si="38"/>
        <v>57.468915000000003</v>
      </c>
      <c r="I1056" s="295">
        <f t="shared" si="39"/>
        <v>22818.703750056826</v>
      </c>
      <c r="J1056" s="1097"/>
    </row>
    <row r="1057" spans="3:11" x14ac:dyDescent="0.2">
      <c r="J1057" s="295"/>
      <c r="K1057" s="941"/>
    </row>
    <row r="1058" spans="3:11" x14ac:dyDescent="0.2">
      <c r="C1058" s="130"/>
      <c r="J1058" s="295"/>
      <c r="K1058" s="149"/>
    </row>
    <row r="1059" spans="3:11" ht="33.75" customHeight="1" x14ac:dyDescent="0.2">
      <c r="C1059" s="2058" t="s">
        <v>2115</v>
      </c>
      <c r="D1059" s="2058"/>
      <c r="E1059" s="2058"/>
      <c r="F1059" s="2058"/>
      <c r="G1059" s="2058"/>
      <c r="H1059" s="2058"/>
      <c r="I1059" s="2058"/>
    </row>
    <row r="1060" spans="3:11" x14ac:dyDescent="0.2">
      <c r="C1060" s="130"/>
      <c r="F1060" s="1050">
        <f>'OHBR-Col'!E13</f>
        <v>0.55000000000000004</v>
      </c>
      <c r="G1060" s="1050">
        <f>'OHBR-Col'!F13</f>
        <v>0.4</v>
      </c>
      <c r="J1060" s="295"/>
      <c r="K1060" s="295"/>
    </row>
    <row r="1061" spans="3:11" x14ac:dyDescent="0.2">
      <c r="C1061" s="129">
        <v>1</v>
      </c>
      <c r="D1061" s="129" t="s">
        <v>20</v>
      </c>
      <c r="E1061" s="129" t="s">
        <v>1283</v>
      </c>
      <c r="I1061" s="970">
        <f>$I$414</f>
        <v>6885.5</v>
      </c>
      <c r="J1061" s="295"/>
    </row>
    <row r="1062" spans="3:11" x14ac:dyDescent="0.2">
      <c r="C1062" s="295">
        <f>+(1/(F1060*G1060))*(2*F1060+G1060)</f>
        <v>6.8181818181818175</v>
      </c>
      <c r="D1062" s="129" t="s">
        <v>1087</v>
      </c>
      <c r="E1062" s="130" t="s">
        <v>1300</v>
      </c>
      <c r="F1062" s="970">
        <f>SSR!$E$12</f>
        <v>1206</v>
      </c>
      <c r="G1062" s="413"/>
      <c r="H1062" s="295"/>
      <c r="I1062" s="295">
        <f>C1062*F1062</f>
        <v>8222.7272727272721</v>
      </c>
      <c r="J1062" s="1093"/>
    </row>
    <row r="1063" spans="3:11" x14ac:dyDescent="0.2">
      <c r="C1063" s="295">
        <f>ROUNDUP(('OHBR-Col'!B2-4),0)</f>
        <v>22</v>
      </c>
      <c r="E1063" s="129" t="s">
        <v>1154</v>
      </c>
      <c r="F1063" s="1106">
        <f>SSR!$E$7</f>
        <v>134</v>
      </c>
      <c r="I1063" s="129">
        <f>+F1063*C1063</f>
        <v>2948</v>
      </c>
      <c r="K1063" s="295"/>
    </row>
    <row r="1064" spans="3:11" x14ac:dyDescent="0.2">
      <c r="E1064" s="129" t="s">
        <v>1290</v>
      </c>
      <c r="F1064" s="1103">
        <f>RAM!$H$130/100</f>
        <v>0.27</v>
      </c>
      <c r="I1064" s="295">
        <f>I1062*F1064</f>
        <v>2220.1363636363635</v>
      </c>
      <c r="J1064" s="295"/>
    </row>
    <row r="1065" spans="3:11" x14ac:dyDescent="0.2">
      <c r="E1065" s="129" t="str">
        <f>+IF($I$4=0%,"---","Municipal allowance")</f>
        <v>Municipal allowance</v>
      </c>
      <c r="F1065" s="928">
        <f>$I$4</f>
        <v>0.2</v>
      </c>
      <c r="I1065" s="295">
        <f>(I1062+I1064)*F1065*0.25</f>
        <v>522.1431818181818</v>
      </c>
      <c r="J1065" s="295"/>
    </row>
    <row r="1066" spans="3:11" x14ac:dyDescent="0.2">
      <c r="E1066" s="139" t="str">
        <f>E1048</f>
        <v>Overheads &amp; cp</v>
      </c>
      <c r="F1066" s="1107"/>
      <c r="G1066" s="1940">
        <f>+$I$5</f>
        <v>0.13614999999999999</v>
      </c>
      <c r="H1066" s="928"/>
      <c r="I1066" s="295">
        <f>SUM(I1062+I1065+I1064+I1063)*G1066</f>
        <v>1894.2558782954543</v>
      </c>
      <c r="J1066" s="295"/>
    </row>
    <row r="1067" spans="3:11" x14ac:dyDescent="0.2">
      <c r="H1067" s="295"/>
      <c r="I1067" s="1105"/>
      <c r="J1067" s="295"/>
    </row>
    <row r="1068" spans="3:11" x14ac:dyDescent="0.2">
      <c r="H1068" s="1097" t="s">
        <v>23</v>
      </c>
      <c r="I1068" s="1108">
        <f>ROUND(SUM(I1061:I1066),1)</f>
        <v>22692.799999999999</v>
      </c>
    </row>
    <row r="1069" spans="3:11" ht="30" customHeight="1" x14ac:dyDescent="0.2">
      <c r="C1069" s="2058" t="s">
        <v>2116</v>
      </c>
      <c r="D1069" s="2058"/>
      <c r="E1069" s="2058"/>
      <c r="F1069" s="2058"/>
      <c r="G1069" s="2058"/>
      <c r="H1069" s="2058"/>
      <c r="I1069" s="2058"/>
      <c r="J1069" s="295"/>
      <c r="K1069" s="149"/>
    </row>
    <row r="1070" spans="3:11" x14ac:dyDescent="0.2">
      <c r="C1070" s="130"/>
      <c r="F1070" s="1050">
        <f>'OHBR-Col'!E16</f>
        <v>0.2</v>
      </c>
      <c r="G1070" s="1050">
        <f>'OHBR-Col'!F16</f>
        <v>0.15</v>
      </c>
      <c r="H1070" s="295"/>
    </row>
    <row r="1071" spans="3:11" x14ac:dyDescent="0.2">
      <c r="C1071" s="526">
        <v>1</v>
      </c>
      <c r="D1071" s="515" t="s">
        <v>20</v>
      </c>
      <c r="E1071" s="129" t="s">
        <v>1301</v>
      </c>
      <c r="F1071" s="1047"/>
      <c r="G1071" s="1047"/>
      <c r="H1071" s="295"/>
      <c r="I1071" s="970">
        <f>I1061</f>
        <v>6885.5</v>
      </c>
    </row>
    <row r="1072" spans="3:11" x14ac:dyDescent="0.2">
      <c r="C1072" s="295">
        <f>+(1/(F1070*G1070))*(2*F1070+G1070)</f>
        <v>18.333333333333336</v>
      </c>
      <c r="D1072" s="129" t="s">
        <v>1087</v>
      </c>
      <c r="E1072" s="130" t="s">
        <v>1300</v>
      </c>
      <c r="F1072" s="1091">
        <f>SSR!$E$12</f>
        <v>1206</v>
      </c>
      <c r="G1072" s="1093" t="s">
        <v>1292</v>
      </c>
      <c r="I1072" s="295">
        <f>C1072*F1072</f>
        <v>22110.000000000004</v>
      </c>
    </row>
    <row r="1073" spans="3:11" x14ac:dyDescent="0.2">
      <c r="C1073" s="295">
        <f>C1063+3</f>
        <v>25</v>
      </c>
      <c r="E1073" s="129" t="s">
        <v>1154</v>
      </c>
      <c r="F1073" s="417">
        <f>SSR!$E$7</f>
        <v>134</v>
      </c>
      <c r="I1073" s="129">
        <f>+F1073*C1073</f>
        <v>3350</v>
      </c>
    </row>
    <row r="1074" spans="3:11" x14ac:dyDescent="0.2">
      <c r="E1074" s="129" t="s">
        <v>1290</v>
      </c>
      <c r="F1074" s="1103">
        <f>RAM!$H$130/100</f>
        <v>0.27</v>
      </c>
      <c r="H1074" s="295"/>
      <c r="I1074" s="295">
        <f>I1072*F1074</f>
        <v>5969.7000000000016</v>
      </c>
    </row>
    <row r="1075" spans="3:11" x14ac:dyDescent="0.2">
      <c r="E1075" s="129" t="str">
        <f>+IF($I$4=0%,"---","Municipal allowance")</f>
        <v>Municipal allowance</v>
      </c>
      <c r="F1075" s="928">
        <f>$I$4</f>
        <v>0.2</v>
      </c>
      <c r="H1075" s="295"/>
      <c r="I1075" s="295">
        <f>(I1072+I1074)*F1075*0.25</f>
        <v>1403.9850000000004</v>
      </c>
    </row>
    <row r="1076" spans="3:11" x14ac:dyDescent="0.2">
      <c r="E1076" s="129" t="s">
        <v>2102</v>
      </c>
      <c r="F1076" s="1107"/>
      <c r="G1076" s="1940">
        <f>+$I$5</f>
        <v>0.13614999999999999</v>
      </c>
      <c r="H1076" s="295"/>
      <c r="I1076" s="295">
        <f>SUM(I1072+I1075+I1074+I1073)*G1076</f>
        <v>4470.3062127500007</v>
      </c>
    </row>
    <row r="1077" spans="3:11" x14ac:dyDescent="0.2">
      <c r="H1077" s="1097" t="s">
        <v>23</v>
      </c>
      <c r="I1077" s="1104">
        <f>ROUND(SUM(I1071:I1076),1)</f>
        <v>44189.5</v>
      </c>
    </row>
    <row r="1078" spans="3:11" ht="27.75" customHeight="1" x14ac:dyDescent="0.2">
      <c r="C1078" s="2058" t="s">
        <v>2117</v>
      </c>
      <c r="D1078" s="2058"/>
      <c r="E1078" s="2058"/>
      <c r="F1078" s="2058"/>
      <c r="G1078" s="2058"/>
      <c r="H1078" s="2058"/>
      <c r="I1078" s="2058"/>
      <c r="J1078" s="295"/>
      <c r="K1078" s="295"/>
    </row>
    <row r="1079" spans="3:11" x14ac:dyDescent="0.2">
      <c r="F1079" s="1085">
        <f>'OHBR-Col'!F14</f>
        <v>0.1</v>
      </c>
      <c r="G1079" s="552"/>
      <c r="H1079" s="295"/>
    </row>
    <row r="1080" spans="3:11" x14ac:dyDescent="0.2">
      <c r="C1080" s="526">
        <v>1</v>
      </c>
      <c r="D1080" s="515" t="s">
        <v>20</v>
      </c>
      <c r="E1080" s="129" t="s">
        <v>1301</v>
      </c>
      <c r="H1080" s="295"/>
      <c r="I1080" s="970">
        <f>$I$402</f>
        <v>8709.2999999999993</v>
      </c>
    </row>
    <row r="1081" spans="3:11" x14ac:dyDescent="0.2">
      <c r="C1081" s="295">
        <f>1/F1079*1</f>
        <v>10</v>
      </c>
      <c r="D1081" s="129" t="s">
        <v>1087</v>
      </c>
      <c r="E1081" s="130" t="s">
        <v>1284</v>
      </c>
      <c r="F1081" s="295">
        <f>SSR!$E$36</f>
        <v>2463</v>
      </c>
      <c r="H1081" s="1093"/>
      <c r="I1081" s="295">
        <f>C1081*F1081</f>
        <v>24630</v>
      </c>
    </row>
    <row r="1082" spans="3:11" x14ac:dyDescent="0.2">
      <c r="C1082" s="295">
        <f>ROUND((RAM!G130-1),0)</f>
        <v>24</v>
      </c>
      <c r="E1082" s="129" t="s">
        <v>1154</v>
      </c>
      <c r="F1082" s="417">
        <f>SSR!$E$7</f>
        <v>134</v>
      </c>
      <c r="I1082" s="295">
        <f>+F1082*C1082</f>
        <v>3216</v>
      </c>
    </row>
    <row r="1083" spans="3:11" x14ac:dyDescent="0.2">
      <c r="E1083" s="129" t="s">
        <v>1290</v>
      </c>
      <c r="F1083" s="1103">
        <f>RAM!$H$130/100</f>
        <v>0.27</v>
      </c>
      <c r="H1083" s="295"/>
      <c r="I1083" s="295">
        <f>I1081*F1083</f>
        <v>6650.1</v>
      </c>
    </row>
    <row r="1084" spans="3:11" x14ac:dyDescent="0.2">
      <c r="E1084" s="129" t="str">
        <f>+IF($I$4=0%,"---","Municipal allowance")</f>
        <v>Municipal allowance</v>
      </c>
      <c r="F1084" s="928">
        <f>$I$4</f>
        <v>0.2</v>
      </c>
      <c r="H1084" s="295"/>
      <c r="I1084" s="295">
        <f>(I1081+I1083)*F1084*0.25</f>
        <v>1564.0050000000001</v>
      </c>
    </row>
    <row r="1085" spans="3:11" x14ac:dyDescent="0.2">
      <c r="E1085" s="129" t="s">
        <v>2102</v>
      </c>
      <c r="F1085" s="1107"/>
      <c r="G1085" s="1940">
        <f>+$I$5</f>
        <v>0.13614999999999999</v>
      </c>
      <c r="H1085" s="295"/>
      <c r="I1085" s="295">
        <f>SUM(I1081+I1084+I1083+I1082)*G1085</f>
        <v>4909.5832957500006</v>
      </c>
    </row>
    <row r="1086" spans="3:11" x14ac:dyDescent="0.2">
      <c r="H1086" s="1097" t="s">
        <v>23</v>
      </c>
      <c r="I1086" s="1104">
        <f>ROUND(SUM(I1080:I1085),1)</f>
        <v>49679</v>
      </c>
    </row>
    <row r="1087" spans="3:11" ht="27" customHeight="1" x14ac:dyDescent="0.2">
      <c r="C1087" s="2054" t="s">
        <v>2118</v>
      </c>
      <c r="D1087" s="2054"/>
      <c r="E1087" s="2054"/>
      <c r="F1087" s="2054"/>
      <c r="G1087" s="2054"/>
      <c r="H1087" s="2054"/>
      <c r="I1087" s="2054"/>
      <c r="J1087" s="1097"/>
      <c r="K1087" s="1097"/>
    </row>
    <row r="1088" spans="3:11" x14ac:dyDescent="0.2">
      <c r="C1088" s="130"/>
      <c r="F1088" s="417">
        <f>'OHBR-Col'!E15</f>
        <v>7.4999999999999997E-2</v>
      </c>
      <c r="J1088" s="295"/>
      <c r="K1088" s="295"/>
    </row>
    <row r="1089" spans="3:11" x14ac:dyDescent="0.2">
      <c r="C1089" s="526">
        <v>1</v>
      </c>
      <c r="D1089" s="515" t="s">
        <v>20</v>
      </c>
      <c r="E1089" s="129" t="s">
        <v>1301</v>
      </c>
      <c r="F1089" s="962"/>
      <c r="I1089" s="970">
        <f>I1071</f>
        <v>6885.5</v>
      </c>
      <c r="J1089" s="295"/>
      <c r="K1089" s="295"/>
    </row>
    <row r="1090" spans="3:11" x14ac:dyDescent="0.2">
      <c r="C1090" s="295">
        <f>1/F1088</f>
        <v>13.333333333333334</v>
      </c>
      <c r="D1090" s="129" t="s">
        <v>1087</v>
      </c>
      <c r="E1090" s="130" t="s">
        <v>1302</v>
      </c>
      <c r="F1090" s="295">
        <f>SSR!$E$13</f>
        <v>2670</v>
      </c>
      <c r="H1090" s="295"/>
      <c r="I1090" s="129">
        <f>+F1090*C1090</f>
        <v>35600</v>
      </c>
      <c r="J1090" s="1093"/>
      <c r="K1090" s="295"/>
    </row>
    <row r="1091" spans="3:11" x14ac:dyDescent="0.2">
      <c r="C1091" s="295">
        <f>+C1082+1</f>
        <v>25</v>
      </c>
      <c r="E1091" s="129" t="s">
        <v>1154</v>
      </c>
      <c r="F1091" s="417">
        <f>SSR!$E$7</f>
        <v>134</v>
      </c>
      <c r="I1091" s="129">
        <f>+F1091*C1091</f>
        <v>3350</v>
      </c>
      <c r="K1091" s="295"/>
    </row>
    <row r="1092" spans="3:11" x14ac:dyDescent="0.2">
      <c r="E1092" s="129" t="s">
        <v>1290</v>
      </c>
      <c r="F1092" s="1103">
        <f>RAM!$H$130/100</f>
        <v>0.27</v>
      </c>
      <c r="H1092" s="295"/>
      <c r="I1092" s="295">
        <f>F1090*F1092</f>
        <v>720.90000000000009</v>
      </c>
      <c r="J1092" s="295"/>
      <c r="K1092" s="295"/>
    </row>
    <row r="1093" spans="3:11" x14ac:dyDescent="0.2">
      <c r="E1093" s="129" t="str">
        <f>+IF($I$4=0%,"---","Municipal allowance")</f>
        <v>Municipal allowance</v>
      </c>
      <c r="F1093" s="928">
        <f>$I$4</f>
        <v>0.2</v>
      </c>
      <c r="H1093" s="295"/>
      <c r="I1093" s="295">
        <f>(F1090+I1092)*F1093*0.25</f>
        <v>169.54500000000002</v>
      </c>
      <c r="J1093" s="295"/>
      <c r="K1093" s="295"/>
    </row>
    <row r="1094" spans="3:11" x14ac:dyDescent="0.2">
      <c r="E1094" s="129" t="s">
        <v>2102</v>
      </c>
      <c r="F1094" s="1107"/>
      <c r="G1094" s="1940">
        <f>+$I$5</f>
        <v>0.13614999999999999</v>
      </c>
      <c r="H1094" s="295"/>
      <c r="I1094" s="295">
        <f>SUM(I1090+I1093+I1092+I1091)*G1094</f>
        <v>5424.2765867499993</v>
      </c>
      <c r="J1094" s="295"/>
      <c r="K1094" s="295"/>
    </row>
    <row r="1095" spans="3:11" x14ac:dyDescent="0.2">
      <c r="H1095" s="1097" t="s">
        <v>23</v>
      </c>
      <c r="I1095" s="1104">
        <f>ROUND(SUM(I1089:I1094),1)</f>
        <v>52150.2</v>
      </c>
      <c r="J1095" s="1097"/>
      <c r="K1095" s="984"/>
    </row>
    <row r="1096" spans="3:11" x14ac:dyDescent="0.2">
      <c r="C1096" s="130"/>
      <c r="J1096" s="1097"/>
      <c r="K1096" s="1109"/>
    </row>
    <row r="1097" spans="3:11" ht="45" customHeight="1" x14ac:dyDescent="0.2">
      <c r="C1097" s="2054" t="s">
        <v>2119</v>
      </c>
      <c r="D1097" s="2054"/>
      <c r="E1097" s="2054"/>
      <c r="F1097" s="2054"/>
      <c r="G1097" s="2054"/>
      <c r="H1097" s="2054"/>
      <c r="I1097" s="2054"/>
      <c r="J1097" s="295"/>
      <c r="K1097" s="149"/>
    </row>
    <row r="1098" spans="3:11" x14ac:dyDescent="0.2">
      <c r="C1098" s="1110"/>
      <c r="D1098" s="1111">
        <f>'OHBR-Col'!E12</f>
        <v>0.125</v>
      </c>
      <c r="J1098" s="295"/>
      <c r="K1098" s="149"/>
    </row>
    <row r="1099" spans="3:11" x14ac:dyDescent="0.2">
      <c r="C1099" s="526">
        <v>1</v>
      </c>
      <c r="D1099" s="515" t="s">
        <v>20</v>
      </c>
      <c r="E1099" s="129" t="s">
        <v>1301</v>
      </c>
      <c r="I1099" s="970">
        <f>I1089</f>
        <v>6885.5</v>
      </c>
      <c r="J1099" s="295"/>
      <c r="K1099" s="149"/>
    </row>
    <row r="1100" spans="3:11" x14ac:dyDescent="0.2">
      <c r="C1100" s="515">
        <f>1/D1098</f>
        <v>8</v>
      </c>
      <c r="D1100" s="129" t="s">
        <v>1087</v>
      </c>
      <c r="E1100" s="130" t="s">
        <v>1302</v>
      </c>
      <c r="F1100" s="295">
        <f>SSR!$E$13</f>
        <v>2670</v>
      </c>
      <c r="H1100" s="295"/>
      <c r="I1100" s="129">
        <f>+F1100*C1100</f>
        <v>21360</v>
      </c>
      <c r="J1100" s="1093"/>
      <c r="K1100" s="149"/>
    </row>
    <row r="1101" spans="3:11" x14ac:dyDescent="0.2">
      <c r="C1101" s="686">
        <f>C1091-3</f>
        <v>22</v>
      </c>
      <c r="E1101" s="129" t="s">
        <v>1154</v>
      </c>
      <c r="F1101" s="417">
        <f>SSR!$E$7</f>
        <v>134</v>
      </c>
      <c r="I1101" s="129">
        <f>+F1101*C1101</f>
        <v>2948</v>
      </c>
      <c r="K1101" s="149"/>
    </row>
    <row r="1102" spans="3:11" x14ac:dyDescent="0.2">
      <c r="E1102" s="129" t="s">
        <v>1290</v>
      </c>
      <c r="F1102" s="1103">
        <f>RAM!$H$130/100</f>
        <v>0.27</v>
      </c>
      <c r="H1102" s="295"/>
      <c r="I1102" s="295">
        <f>F1100*F1102</f>
        <v>720.90000000000009</v>
      </c>
      <c r="J1102" s="295"/>
      <c r="K1102" s="149"/>
    </row>
    <row r="1103" spans="3:11" x14ac:dyDescent="0.2">
      <c r="E1103" s="129" t="str">
        <f>+IF($I$4=0%,"---","Municipal allowance")</f>
        <v>Municipal allowance</v>
      </c>
      <c r="F1103" s="928">
        <f>$I$4</f>
        <v>0.2</v>
      </c>
      <c r="H1103" s="295"/>
      <c r="I1103" s="295">
        <f>(F1100+I1102)*F1103*0.25</f>
        <v>169.54500000000002</v>
      </c>
      <c r="J1103" s="295"/>
      <c r="K1103" s="149"/>
    </row>
    <row r="1104" spans="3:11" x14ac:dyDescent="0.2">
      <c r="E1104" s="129" t="s">
        <v>2102</v>
      </c>
      <c r="F1104" s="1107"/>
      <c r="G1104" s="1940">
        <f>+$I$5</f>
        <v>0.13614999999999999</v>
      </c>
      <c r="H1104" s="295"/>
      <c r="I1104" s="295">
        <f>SUM(I1100+I1103+I1102+I1101)*G1104</f>
        <v>3430.7682867499998</v>
      </c>
      <c r="J1104" s="295"/>
      <c r="K1104" s="149"/>
    </row>
    <row r="1105" spans="3:11" x14ac:dyDescent="0.2">
      <c r="H1105" s="1097" t="s">
        <v>23</v>
      </c>
      <c r="I1105" s="1108">
        <f>ROUND(SUM(I1099:I1104),1)</f>
        <v>35514.699999999997</v>
      </c>
      <c r="J1105" s="295"/>
      <c r="K1105" s="157"/>
    </row>
    <row r="1106" spans="3:11" x14ac:dyDescent="0.2">
      <c r="H1106" s="1097"/>
      <c r="I1106" s="984"/>
      <c r="J1106" s="295"/>
      <c r="K1106" s="157"/>
    </row>
    <row r="1107" spans="3:11" x14ac:dyDescent="0.2">
      <c r="D1107" s="1112"/>
      <c r="E1107" s="1113" t="s">
        <v>1303</v>
      </c>
      <c r="H1107" s="1097"/>
      <c r="I1107" s="984"/>
      <c r="J1107" s="295"/>
      <c r="K1107" s="157"/>
    </row>
    <row r="1108" spans="3:11" ht="37.5" customHeight="1" x14ac:dyDescent="0.2">
      <c r="C1108" s="2054" t="s">
        <v>2120</v>
      </c>
      <c r="D1108" s="2054"/>
      <c r="E1108" s="2054"/>
      <c r="F1108" s="2054"/>
      <c r="G1108" s="2054"/>
      <c r="H1108" s="2054"/>
      <c r="I1108" s="2054"/>
      <c r="J1108" s="295"/>
      <c r="K1108" s="157"/>
    </row>
    <row r="1109" spans="3:11" x14ac:dyDescent="0.2">
      <c r="C1109" s="130"/>
      <c r="D1109" s="1085">
        <f>'Shaft type'!E116</f>
        <v>0.3</v>
      </c>
      <c r="E1109" s="129" t="s">
        <v>1304</v>
      </c>
      <c r="H1109" s="295"/>
      <c r="J1109" s="295"/>
      <c r="K1109" s="157"/>
    </row>
    <row r="1110" spans="3:11" x14ac:dyDescent="0.2">
      <c r="C1110" s="526">
        <v>1</v>
      </c>
      <c r="D1110" s="515" t="s">
        <v>20</v>
      </c>
      <c r="E1110" s="129" t="s">
        <v>1301</v>
      </c>
      <c r="H1110" s="295"/>
      <c r="I1110" s="970">
        <f>I402</f>
        <v>8709.2999999999993</v>
      </c>
      <c r="J1110" s="295"/>
      <c r="K1110" s="157"/>
    </row>
    <row r="1111" spans="3:11" x14ac:dyDescent="0.2">
      <c r="C1111" s="295">
        <f>1/D1109*1</f>
        <v>3.3333333333333335</v>
      </c>
      <c r="D1111" s="129" t="s">
        <v>1087</v>
      </c>
      <c r="E1111" s="130" t="s">
        <v>1284</v>
      </c>
      <c r="F1111" s="295">
        <f>SSR!$E$36</f>
        <v>2463</v>
      </c>
      <c r="H1111" s="1093"/>
      <c r="I1111" s="295">
        <f>C1111*F1111</f>
        <v>8210</v>
      </c>
      <c r="J1111" s="295"/>
      <c r="K1111" s="157"/>
    </row>
    <row r="1112" spans="3:11" x14ac:dyDescent="0.2">
      <c r="C1112" s="295">
        <v>0</v>
      </c>
      <c r="E1112" s="129" t="s">
        <v>1154</v>
      </c>
      <c r="F1112" s="417">
        <f>SSR!$E$7</f>
        <v>134</v>
      </c>
      <c r="I1112" s="129">
        <f>+F1112*C1112</f>
        <v>0</v>
      </c>
      <c r="J1112" s="295"/>
      <c r="K1112" s="157"/>
    </row>
    <row r="1113" spans="3:11" x14ac:dyDescent="0.2">
      <c r="E1113" s="129" t="s">
        <v>1290</v>
      </c>
      <c r="F1113" s="1103">
        <f>RAM!H143/100</f>
        <v>0.3</v>
      </c>
      <c r="H1113" s="295"/>
      <c r="I1113" s="295">
        <f>I1111*F1113</f>
        <v>2463</v>
      </c>
      <c r="J1113" s="295"/>
      <c r="K1113" s="157"/>
    </row>
    <row r="1114" spans="3:11" x14ac:dyDescent="0.2">
      <c r="E1114" s="129" t="str">
        <f>+IF($I$4=0%,"---","Municipal allowance")</f>
        <v>Municipal allowance</v>
      </c>
      <c r="F1114" s="928">
        <f>$I$4</f>
        <v>0.2</v>
      </c>
      <c r="H1114" s="295"/>
      <c r="I1114" s="295">
        <f>(I1111+I1113)*F1114*0.25</f>
        <v>533.65</v>
      </c>
      <c r="J1114" s="295"/>
      <c r="K1114" s="157"/>
    </row>
    <row r="1115" spans="3:11" x14ac:dyDescent="0.2">
      <c r="E1115" s="129" t="s">
        <v>2102</v>
      </c>
      <c r="F1115" s="1940">
        <f>+$I$5</f>
        <v>0.13614999999999999</v>
      </c>
      <c r="H1115" s="295"/>
      <c r="I1115" s="295">
        <f>SUM(I1111+I1114+I1113+I1112)*F1115</f>
        <v>1525.7853974999998</v>
      </c>
      <c r="J1115" s="295"/>
      <c r="K1115" s="157"/>
    </row>
    <row r="1116" spans="3:11" x14ac:dyDescent="0.2">
      <c r="H1116" s="1097" t="s">
        <v>23</v>
      </c>
      <c r="I1116" s="1104">
        <f>ROUND(SUM(I1110:I1115),1)</f>
        <v>21441.7</v>
      </c>
      <c r="J1116" s="295"/>
      <c r="K1116" s="157"/>
    </row>
    <row r="1117" spans="3:11" x14ac:dyDescent="0.2">
      <c r="C1117" s="130"/>
      <c r="D1117" s="1085">
        <v>0.25</v>
      </c>
      <c r="E1117" s="129" t="s">
        <v>1304</v>
      </c>
      <c r="H1117" s="295"/>
      <c r="J1117" s="295"/>
      <c r="K1117" s="157"/>
    </row>
    <row r="1118" spans="3:11" x14ac:dyDescent="0.2">
      <c r="C1118" s="526">
        <v>1</v>
      </c>
      <c r="D1118" s="515" t="s">
        <v>20</v>
      </c>
      <c r="E1118" s="129" t="s">
        <v>1301</v>
      </c>
      <c r="H1118" s="295"/>
      <c r="I1118" s="970">
        <f>I1110</f>
        <v>8709.2999999999993</v>
      </c>
      <c r="J1118" s="295"/>
      <c r="K1118" s="157"/>
    </row>
    <row r="1119" spans="3:11" x14ac:dyDescent="0.2">
      <c r="C1119" s="295">
        <f>1/D1117*1</f>
        <v>4</v>
      </c>
      <c r="D1119" s="129" t="s">
        <v>1087</v>
      </c>
      <c r="E1119" s="130" t="s">
        <v>1284</v>
      </c>
      <c r="F1119" s="295">
        <f>SSR!$E$36</f>
        <v>2463</v>
      </c>
      <c r="H1119" s="1093"/>
      <c r="I1119" s="295">
        <f>C1119*F1119</f>
        <v>9852</v>
      </c>
      <c r="J1119" s="295"/>
      <c r="K1119" s="157"/>
    </row>
    <row r="1120" spans="3:11" x14ac:dyDescent="0.2">
      <c r="C1120" s="295">
        <v>0</v>
      </c>
      <c r="E1120" s="129" t="s">
        <v>1154</v>
      </c>
      <c r="F1120" s="417">
        <f>SSR!$E$7</f>
        <v>134</v>
      </c>
      <c r="I1120" s="129">
        <f>+F1120*C1120</f>
        <v>0</v>
      </c>
      <c r="J1120" s="295"/>
      <c r="K1120" s="157"/>
    </row>
    <row r="1121" spans="3:11" x14ac:dyDescent="0.2">
      <c r="E1121" s="129" t="s">
        <v>1290</v>
      </c>
      <c r="F1121" s="1103">
        <f>F1113</f>
        <v>0.3</v>
      </c>
      <c r="H1121" s="295"/>
      <c r="I1121" s="295">
        <f>I1119*F1121</f>
        <v>2955.6</v>
      </c>
      <c r="J1121" s="295"/>
      <c r="K1121" s="157"/>
    </row>
    <row r="1122" spans="3:11" x14ac:dyDescent="0.2">
      <c r="E1122" s="129" t="str">
        <f>+IF($I$4=0%,"---","Municipal allowance")</f>
        <v>Municipal allowance</v>
      </c>
      <c r="F1122" s="928">
        <f>$I$4</f>
        <v>0.2</v>
      </c>
      <c r="H1122" s="295"/>
      <c r="I1122" s="295">
        <f>(I1119+I1121)*F1122*0.25</f>
        <v>640.38000000000011</v>
      </c>
      <c r="J1122" s="295"/>
      <c r="K1122" s="157"/>
    </row>
    <row r="1123" spans="3:11" x14ac:dyDescent="0.2">
      <c r="E1123" s="129" t="s">
        <v>2102</v>
      </c>
      <c r="F1123" s="1940">
        <f>+$I$5</f>
        <v>0.13614999999999999</v>
      </c>
      <c r="H1123" s="295"/>
      <c r="I1123" s="295">
        <f>SUM(I1119+I1122+I1121+I1120)*F1123</f>
        <v>1830.9424770000001</v>
      </c>
      <c r="J1123" s="295"/>
      <c r="K1123" s="157"/>
    </row>
    <row r="1124" spans="3:11" x14ac:dyDescent="0.2">
      <c r="H1124" s="1097" t="s">
        <v>23</v>
      </c>
      <c r="I1124" s="1104">
        <f>ROUND(SUM(I1118:I1123),1)</f>
        <v>23988.2</v>
      </c>
      <c r="J1124" s="295"/>
      <c r="K1124" s="157"/>
    </row>
    <row r="1125" spans="3:11" x14ac:dyDescent="0.2">
      <c r="H1125" s="1097"/>
      <c r="I1125" s="984"/>
      <c r="J1125" s="295"/>
      <c r="K1125" s="157"/>
    </row>
    <row r="1126" spans="3:11" ht="32.25" customHeight="1" x14ac:dyDescent="0.2">
      <c r="C1126" s="2058" t="s">
        <v>2121</v>
      </c>
      <c r="D1126" s="2058"/>
      <c r="E1126" s="2058"/>
      <c r="F1126" s="2058"/>
      <c r="G1126" s="2058"/>
      <c r="H1126" s="2058"/>
      <c r="I1126" s="2058"/>
      <c r="J1126" s="295"/>
      <c r="K1126" s="157"/>
    </row>
    <row r="1127" spans="3:11" x14ac:dyDescent="0.2">
      <c r="C1127" s="130"/>
      <c r="F1127" s="1050">
        <f>'Shaft type'!E121</f>
        <v>0.3</v>
      </c>
      <c r="G1127" s="1050">
        <f>'Shaft type'!F121</f>
        <v>0.3</v>
      </c>
      <c r="H1127" s="295"/>
      <c r="J1127" s="295"/>
      <c r="K1127" s="157"/>
    </row>
    <row r="1128" spans="3:11" x14ac:dyDescent="0.2">
      <c r="C1128" s="526">
        <v>1</v>
      </c>
      <c r="D1128" s="515" t="s">
        <v>20</v>
      </c>
      <c r="E1128" s="129" t="s">
        <v>1301</v>
      </c>
      <c r="F1128" s="1047"/>
      <c r="G1128" s="1047"/>
      <c r="H1128" s="295"/>
      <c r="I1128" s="970">
        <f>I1071</f>
        <v>6885.5</v>
      </c>
      <c r="J1128" s="295"/>
      <c r="K1128" s="157"/>
    </row>
    <row r="1129" spans="3:11" x14ac:dyDescent="0.2">
      <c r="C1129" s="295">
        <f>+(1/(F1127*G1127))*(2*F1127+G1127)</f>
        <v>9.9999999999999982</v>
      </c>
      <c r="D1129" s="129" t="s">
        <v>1087</v>
      </c>
      <c r="E1129" s="130" t="s">
        <v>1300</v>
      </c>
      <c r="F1129" s="149">
        <f>SSR!$E$12</f>
        <v>1206</v>
      </c>
      <c r="G1129" s="1093" t="s">
        <v>1292</v>
      </c>
      <c r="I1129" s="295">
        <f>C1129*F1129</f>
        <v>12059.999999999998</v>
      </c>
      <c r="J1129" s="295"/>
      <c r="K1129" s="157"/>
    </row>
    <row r="1130" spans="3:11" x14ac:dyDescent="0.2">
      <c r="C1130" s="295">
        <v>0</v>
      </c>
      <c r="E1130" s="129" t="s">
        <v>1154</v>
      </c>
      <c r="F1130" s="1106">
        <f>SSR!$E$7</f>
        <v>134</v>
      </c>
      <c r="I1130" s="129">
        <f>+F1130*C1130</f>
        <v>0</v>
      </c>
      <c r="J1130" s="295"/>
      <c r="K1130" s="157"/>
    </row>
    <row r="1131" spans="3:11" x14ac:dyDescent="0.2">
      <c r="E1131" s="129" t="s">
        <v>1290</v>
      </c>
      <c r="F1131" s="1103">
        <f>RAM!H143/100</f>
        <v>0.3</v>
      </c>
      <c r="H1131" s="295"/>
      <c r="I1131" s="295">
        <f>I1129*F1131</f>
        <v>3617.9999999999995</v>
      </c>
      <c r="J1131" s="295"/>
      <c r="K1131" s="157"/>
    </row>
    <row r="1132" spans="3:11" x14ac:dyDescent="0.2">
      <c r="E1132" s="129" t="str">
        <f>+IF($I$4=0%,"---","Municipal allowance")</f>
        <v>Municipal allowance</v>
      </c>
      <c r="F1132" s="928">
        <f>$I$4</f>
        <v>0.2</v>
      </c>
      <c r="H1132" s="295"/>
      <c r="I1132" s="295">
        <f>(I1129+I1131)*F1132*0.25</f>
        <v>783.9</v>
      </c>
      <c r="J1132" s="295"/>
      <c r="K1132" s="157"/>
    </row>
    <row r="1133" spans="3:11" x14ac:dyDescent="0.2">
      <c r="E1133" s="129" t="s">
        <v>2102</v>
      </c>
      <c r="F1133" s="1107"/>
      <c r="G1133" s="1940">
        <f>+$I$5</f>
        <v>0.13614999999999999</v>
      </c>
      <c r="H1133" s="295"/>
      <c r="I1133" s="295">
        <f>SUM(I1129+I1132+I1131+I1130)*G1133</f>
        <v>2241.2876849999998</v>
      </c>
      <c r="J1133" s="295"/>
      <c r="K1133" s="157"/>
    </row>
    <row r="1134" spans="3:11" x14ac:dyDescent="0.2">
      <c r="H1134" s="1097" t="s">
        <v>23</v>
      </c>
      <c r="I1134" s="1104">
        <f>ROUND(SUM(I1128:I1133),1)</f>
        <v>25588.7</v>
      </c>
      <c r="J1134" s="295"/>
      <c r="K1134" s="157"/>
    </row>
    <row r="1135" spans="3:11" x14ac:dyDescent="0.2">
      <c r="H1135" s="1097"/>
      <c r="I1135" s="984"/>
      <c r="J1135" s="295"/>
      <c r="K1135" s="157"/>
    </row>
    <row r="1136" spans="3:11" ht="29.25" customHeight="1" x14ac:dyDescent="0.2">
      <c r="C1136" s="2054" t="s">
        <v>2120</v>
      </c>
      <c r="D1136" s="2054"/>
      <c r="E1136" s="2054"/>
      <c r="F1136" s="2054"/>
      <c r="G1136" s="2054"/>
      <c r="H1136" s="2054"/>
      <c r="I1136" s="2054"/>
      <c r="J1136" s="295"/>
      <c r="K1136" s="157"/>
    </row>
    <row r="1137" spans="3:11" x14ac:dyDescent="0.2">
      <c r="C1137" s="130"/>
      <c r="D1137" s="1085">
        <f>'Shaft type'!E127</f>
        <v>0.2</v>
      </c>
      <c r="H1137" s="295"/>
      <c r="J1137" s="295"/>
      <c r="K1137" s="157"/>
    </row>
    <row r="1138" spans="3:11" x14ac:dyDescent="0.2">
      <c r="C1138" s="526">
        <v>1</v>
      </c>
      <c r="D1138" s="515" t="s">
        <v>20</v>
      </c>
      <c r="E1138" s="129" t="s">
        <v>1301</v>
      </c>
      <c r="H1138" s="295"/>
      <c r="I1138" s="970">
        <f>I1118</f>
        <v>8709.2999999999993</v>
      </c>
      <c r="J1138" s="295"/>
      <c r="K1138" s="157"/>
    </row>
    <row r="1139" spans="3:11" x14ac:dyDescent="0.2">
      <c r="C1139" s="295">
        <f>1/D1137*1</f>
        <v>5</v>
      </c>
      <c r="D1139" s="129" t="s">
        <v>1087</v>
      </c>
      <c r="E1139" s="130" t="s">
        <v>1284</v>
      </c>
      <c r="F1139" s="295">
        <f>SSR!$E$36</f>
        <v>2463</v>
      </c>
      <c r="H1139" s="1093"/>
      <c r="I1139" s="295">
        <f>C1139*F1139</f>
        <v>12315</v>
      </c>
      <c r="J1139" s="295"/>
      <c r="K1139" s="157"/>
    </row>
    <row r="1140" spans="3:11" x14ac:dyDescent="0.2">
      <c r="C1140" s="295">
        <v>0</v>
      </c>
      <c r="E1140" s="129" t="s">
        <v>1154</v>
      </c>
      <c r="F1140" s="417">
        <f>SSR!$E$7</f>
        <v>134</v>
      </c>
      <c r="I1140" s="129">
        <f>+F1140*C1140</f>
        <v>0</v>
      </c>
      <c r="J1140" s="295"/>
      <c r="K1140" s="157"/>
    </row>
    <row r="1141" spans="3:11" x14ac:dyDescent="0.2">
      <c r="E1141" s="129" t="s">
        <v>1290</v>
      </c>
      <c r="F1141" s="1103">
        <f>RAM!H143/100</f>
        <v>0.3</v>
      </c>
      <c r="H1141" s="295"/>
      <c r="I1141" s="295">
        <f>I1139*F1141</f>
        <v>3694.5</v>
      </c>
      <c r="J1141" s="295"/>
      <c r="K1141" s="157"/>
    </row>
    <row r="1142" spans="3:11" x14ac:dyDescent="0.2">
      <c r="E1142" s="129" t="str">
        <f>+IF($I$4=0%,"---","Municipal allowance")</f>
        <v>Municipal allowance</v>
      </c>
      <c r="F1142" s="928">
        <f>$I$4</f>
        <v>0.2</v>
      </c>
      <c r="H1142" s="295"/>
      <c r="I1142" s="295">
        <f>(I1139+I1141)*F1142*0.25</f>
        <v>800.47500000000002</v>
      </c>
      <c r="J1142" s="295"/>
      <c r="K1142" s="157"/>
    </row>
    <row r="1143" spans="3:11" x14ac:dyDescent="0.2">
      <c r="E1143" s="129" t="s">
        <v>2102</v>
      </c>
      <c r="F1143" s="1940">
        <f>+$I$5</f>
        <v>0.13614999999999999</v>
      </c>
      <c r="H1143" s="295"/>
      <c r="I1143" s="295">
        <f>SUM(I1139+I1142+I1141+I1140)*F1143</f>
        <v>2288.6780962499997</v>
      </c>
      <c r="J1143" s="295"/>
      <c r="K1143" s="157"/>
    </row>
    <row r="1144" spans="3:11" x14ac:dyDescent="0.2">
      <c r="E1144" s="129" t="s">
        <v>420</v>
      </c>
      <c r="H1144" s="1097" t="s">
        <v>23</v>
      </c>
      <c r="I1144" s="1108">
        <f>ROUND(SUM(I1138:I1143),1)</f>
        <v>27808</v>
      </c>
      <c r="J1144" s="295"/>
      <c r="K1144" s="157"/>
    </row>
    <row r="1145" spans="3:11" x14ac:dyDescent="0.2">
      <c r="E1145" s="129" t="s">
        <v>422</v>
      </c>
      <c r="F1145" s="1114" t="s">
        <v>1305</v>
      </c>
      <c r="G1145" s="417">
        <f>SSR!$E$7</f>
        <v>134</v>
      </c>
      <c r="H1145" s="295">
        <f>+I1144+$G$1145</f>
        <v>27942</v>
      </c>
      <c r="I1145" s="980">
        <f t="shared" ref="I1145:I1171" si="40">ROUND(+H1145+$G$1282*$I$5,1)</f>
        <v>27960.2</v>
      </c>
      <c r="J1145" s="295"/>
      <c r="K1145" s="157"/>
    </row>
    <row r="1146" spans="3:11" x14ac:dyDescent="0.2">
      <c r="E1146" s="129" t="s">
        <v>423</v>
      </c>
      <c r="H1146" s="295">
        <f>+I1145+$G$1145</f>
        <v>28094.2</v>
      </c>
      <c r="I1146" s="980">
        <f t="shared" si="40"/>
        <v>28112.400000000001</v>
      </c>
      <c r="J1146" s="295"/>
      <c r="K1146" s="157"/>
    </row>
    <row r="1147" spans="3:11" x14ac:dyDescent="0.2">
      <c r="E1147" s="129" t="s">
        <v>424</v>
      </c>
      <c r="H1147" s="295">
        <f t="shared" ref="H1147:H1171" si="41">+I1146+$G$1145</f>
        <v>28246.400000000001</v>
      </c>
      <c r="I1147" s="980">
        <f t="shared" si="40"/>
        <v>28264.6</v>
      </c>
      <c r="J1147" s="295"/>
      <c r="K1147" s="157"/>
    </row>
    <row r="1148" spans="3:11" x14ac:dyDescent="0.2">
      <c r="E1148" s="129" t="s">
        <v>425</v>
      </c>
      <c r="H1148" s="295">
        <f t="shared" si="41"/>
        <v>28398.6</v>
      </c>
      <c r="I1148" s="980">
        <f t="shared" si="40"/>
        <v>28416.799999999999</v>
      </c>
      <c r="J1148" s="295"/>
      <c r="K1148" s="157"/>
    </row>
    <row r="1149" spans="3:11" x14ac:dyDescent="0.2">
      <c r="E1149" s="129" t="s">
        <v>426</v>
      </c>
      <c r="H1149" s="295">
        <f t="shared" si="41"/>
        <v>28550.799999999999</v>
      </c>
      <c r="I1149" s="980">
        <f t="shared" si="40"/>
        <v>28569</v>
      </c>
      <c r="J1149" s="295"/>
      <c r="K1149" s="157"/>
    </row>
    <row r="1150" spans="3:11" x14ac:dyDescent="0.2">
      <c r="E1150" s="129" t="s">
        <v>427</v>
      </c>
      <c r="H1150" s="295">
        <f t="shared" si="41"/>
        <v>28703</v>
      </c>
      <c r="I1150" s="980">
        <f t="shared" si="40"/>
        <v>28721.200000000001</v>
      </c>
      <c r="J1150" s="295"/>
      <c r="K1150" s="157"/>
    </row>
    <row r="1151" spans="3:11" x14ac:dyDescent="0.2">
      <c r="E1151" s="129" t="s">
        <v>428</v>
      </c>
      <c r="H1151" s="295">
        <f t="shared" si="41"/>
        <v>28855.200000000001</v>
      </c>
      <c r="I1151" s="980">
        <f t="shared" si="40"/>
        <v>28873.4</v>
      </c>
      <c r="J1151" s="295"/>
      <c r="K1151" s="157"/>
    </row>
    <row r="1152" spans="3:11" x14ac:dyDescent="0.2">
      <c r="E1152" s="129" t="s">
        <v>429</v>
      </c>
      <c r="H1152" s="295">
        <f t="shared" si="41"/>
        <v>29007.4</v>
      </c>
      <c r="I1152" s="980">
        <f t="shared" si="40"/>
        <v>29025.599999999999</v>
      </c>
      <c r="J1152" s="295"/>
      <c r="K1152" s="157"/>
    </row>
    <row r="1153" spans="5:11" x14ac:dyDescent="0.2">
      <c r="E1153" s="129" t="s">
        <v>430</v>
      </c>
      <c r="H1153" s="295">
        <f t="shared" si="41"/>
        <v>29159.599999999999</v>
      </c>
      <c r="I1153" s="980">
        <f t="shared" si="40"/>
        <v>29177.8</v>
      </c>
      <c r="J1153" s="295"/>
      <c r="K1153" s="157"/>
    </row>
    <row r="1154" spans="5:11" x14ac:dyDescent="0.2">
      <c r="E1154" s="129" t="s">
        <v>431</v>
      </c>
      <c r="H1154" s="295">
        <f t="shared" si="41"/>
        <v>29311.8</v>
      </c>
      <c r="I1154" s="980">
        <f t="shared" si="40"/>
        <v>29330</v>
      </c>
      <c r="J1154" s="295"/>
      <c r="K1154" s="157"/>
    </row>
    <row r="1155" spans="5:11" x14ac:dyDescent="0.2">
      <c r="E1155" s="129" t="s">
        <v>432</v>
      </c>
      <c r="H1155" s="295">
        <f t="shared" si="41"/>
        <v>29464</v>
      </c>
      <c r="I1155" s="980">
        <f t="shared" si="40"/>
        <v>29482.2</v>
      </c>
      <c r="J1155" s="295"/>
      <c r="K1155" s="157"/>
    </row>
    <row r="1156" spans="5:11" x14ac:dyDescent="0.2">
      <c r="E1156" s="129" t="s">
        <v>433</v>
      </c>
      <c r="H1156" s="295">
        <f t="shared" si="41"/>
        <v>29616.2</v>
      </c>
      <c r="I1156" s="980">
        <f t="shared" si="40"/>
        <v>29634.400000000001</v>
      </c>
      <c r="J1156" s="295"/>
      <c r="K1156" s="157"/>
    </row>
    <row r="1157" spans="5:11" x14ac:dyDescent="0.2">
      <c r="E1157" s="129" t="s">
        <v>434</v>
      </c>
      <c r="H1157" s="295">
        <f t="shared" si="41"/>
        <v>29768.400000000001</v>
      </c>
      <c r="I1157" s="980">
        <f t="shared" si="40"/>
        <v>29786.6</v>
      </c>
      <c r="J1157" s="295"/>
      <c r="K1157" s="157"/>
    </row>
    <row r="1158" spans="5:11" x14ac:dyDescent="0.2">
      <c r="E1158" s="129" t="s">
        <v>435</v>
      </c>
      <c r="H1158" s="295">
        <f t="shared" si="41"/>
        <v>29920.6</v>
      </c>
      <c r="I1158" s="980">
        <f t="shared" si="40"/>
        <v>29938.799999999999</v>
      </c>
      <c r="J1158" s="295"/>
      <c r="K1158" s="157"/>
    </row>
    <row r="1159" spans="5:11" x14ac:dyDescent="0.2">
      <c r="E1159" s="129" t="s">
        <v>436</v>
      </c>
      <c r="H1159" s="295">
        <f t="shared" si="41"/>
        <v>30072.799999999999</v>
      </c>
      <c r="I1159" s="980">
        <f t="shared" si="40"/>
        <v>30091</v>
      </c>
      <c r="J1159" s="295"/>
      <c r="K1159" s="157"/>
    </row>
    <row r="1160" spans="5:11" x14ac:dyDescent="0.2">
      <c r="E1160" s="129" t="s">
        <v>437</v>
      </c>
      <c r="H1160" s="295">
        <f t="shared" si="41"/>
        <v>30225</v>
      </c>
      <c r="I1160" s="980">
        <f t="shared" si="40"/>
        <v>30243.200000000001</v>
      </c>
      <c r="J1160" s="295"/>
      <c r="K1160" s="157"/>
    </row>
    <row r="1161" spans="5:11" x14ac:dyDescent="0.2">
      <c r="E1161" s="129" t="s">
        <v>438</v>
      </c>
      <c r="H1161" s="295">
        <f t="shared" si="41"/>
        <v>30377.200000000001</v>
      </c>
      <c r="I1161" s="980">
        <f t="shared" si="40"/>
        <v>30395.4</v>
      </c>
      <c r="J1161" s="295"/>
      <c r="K1161" s="157"/>
    </row>
    <row r="1162" spans="5:11" x14ac:dyDescent="0.2">
      <c r="E1162" s="129" t="s">
        <v>439</v>
      </c>
      <c r="H1162" s="295">
        <f t="shared" si="41"/>
        <v>30529.4</v>
      </c>
      <c r="I1162" s="980">
        <f t="shared" si="40"/>
        <v>30547.599999999999</v>
      </c>
      <c r="J1162" s="295"/>
      <c r="K1162" s="157"/>
    </row>
    <row r="1163" spans="5:11" x14ac:dyDescent="0.2">
      <c r="E1163" s="129" t="s">
        <v>440</v>
      </c>
      <c r="H1163" s="295">
        <f t="shared" si="41"/>
        <v>30681.599999999999</v>
      </c>
      <c r="I1163" s="980">
        <f t="shared" si="40"/>
        <v>30699.8</v>
      </c>
      <c r="J1163" s="295"/>
      <c r="K1163" s="157"/>
    </row>
    <row r="1164" spans="5:11" x14ac:dyDescent="0.2">
      <c r="E1164" s="129" t="s">
        <v>441</v>
      </c>
      <c r="H1164" s="295">
        <f t="shared" si="41"/>
        <v>30833.8</v>
      </c>
      <c r="I1164" s="980">
        <f t="shared" si="40"/>
        <v>30852</v>
      </c>
      <c r="J1164" s="295"/>
      <c r="K1164" s="157"/>
    </row>
    <row r="1165" spans="5:11" x14ac:dyDescent="0.2">
      <c r="E1165" s="129" t="s">
        <v>442</v>
      </c>
      <c r="H1165" s="295">
        <f t="shared" si="41"/>
        <v>30986</v>
      </c>
      <c r="I1165" s="980">
        <f t="shared" si="40"/>
        <v>31004.2</v>
      </c>
      <c r="J1165" s="295"/>
      <c r="K1165" s="157"/>
    </row>
    <row r="1166" spans="5:11" x14ac:dyDescent="0.2">
      <c r="E1166" s="129" t="s">
        <v>443</v>
      </c>
      <c r="H1166" s="295">
        <f t="shared" si="41"/>
        <v>31138.2</v>
      </c>
      <c r="I1166" s="980">
        <f t="shared" si="40"/>
        <v>31156.400000000001</v>
      </c>
      <c r="J1166" s="295"/>
      <c r="K1166" s="157"/>
    </row>
    <row r="1167" spans="5:11" x14ac:dyDescent="0.2">
      <c r="E1167" s="129" t="s">
        <v>444</v>
      </c>
      <c r="H1167" s="295">
        <f t="shared" si="41"/>
        <v>31290.400000000001</v>
      </c>
      <c r="I1167" s="980">
        <f t="shared" si="40"/>
        <v>31308.6</v>
      </c>
      <c r="J1167" s="295"/>
      <c r="K1167" s="157"/>
    </row>
    <row r="1168" spans="5:11" x14ac:dyDescent="0.2">
      <c r="E1168" s="129" t="s">
        <v>445</v>
      </c>
      <c r="H1168" s="295">
        <f t="shared" si="41"/>
        <v>31442.6</v>
      </c>
      <c r="I1168" s="980">
        <f t="shared" si="40"/>
        <v>31460.799999999999</v>
      </c>
      <c r="J1168" s="295"/>
      <c r="K1168" s="157"/>
    </row>
    <row r="1169" spans="3:11" x14ac:dyDescent="0.2">
      <c r="E1169" s="129" t="s">
        <v>446</v>
      </c>
      <c r="H1169" s="295">
        <f t="shared" si="41"/>
        <v>31594.799999999999</v>
      </c>
      <c r="I1169" s="980">
        <f t="shared" si="40"/>
        <v>31613</v>
      </c>
      <c r="J1169" s="295"/>
      <c r="K1169" s="157"/>
    </row>
    <row r="1170" spans="3:11" x14ac:dyDescent="0.2">
      <c r="E1170" s="129" t="s">
        <v>447</v>
      </c>
      <c r="H1170" s="295">
        <f t="shared" si="41"/>
        <v>31747</v>
      </c>
      <c r="I1170" s="980">
        <f t="shared" si="40"/>
        <v>31765.200000000001</v>
      </c>
      <c r="J1170" s="295"/>
      <c r="K1170" s="157"/>
    </row>
    <row r="1171" spans="3:11" x14ac:dyDescent="0.2">
      <c r="E1171" s="129" t="s">
        <v>448</v>
      </c>
      <c r="H1171" s="295">
        <f t="shared" si="41"/>
        <v>31899.200000000001</v>
      </c>
      <c r="I1171" s="980">
        <f t="shared" si="40"/>
        <v>31917.4</v>
      </c>
      <c r="J1171" s="295"/>
      <c r="K1171" s="157"/>
    </row>
    <row r="1172" spans="3:11" x14ac:dyDescent="0.2">
      <c r="H1172" s="295"/>
      <c r="I1172" s="980"/>
      <c r="J1172" s="295"/>
      <c r="K1172" s="157"/>
    </row>
    <row r="1173" spans="3:11" ht="32.25" customHeight="1" x14ac:dyDescent="0.2">
      <c r="C1173" s="2058" t="s">
        <v>2122</v>
      </c>
      <c r="D1173" s="2058"/>
      <c r="E1173" s="2058"/>
      <c r="F1173" s="2058"/>
      <c r="G1173" s="2058"/>
      <c r="H1173" s="2058"/>
      <c r="I1173" s="2058"/>
      <c r="J1173" s="295"/>
      <c r="K1173" s="157"/>
    </row>
    <row r="1174" spans="3:11" x14ac:dyDescent="0.2">
      <c r="C1174" s="130"/>
      <c r="F1174" s="1115">
        <f>'Shaft type'!F161</f>
        <v>0.3</v>
      </c>
      <c r="J1174" s="295"/>
      <c r="K1174" s="157"/>
    </row>
    <row r="1175" spans="3:11" x14ac:dyDescent="0.2">
      <c r="C1175" s="526">
        <v>1</v>
      </c>
      <c r="D1175" s="515" t="s">
        <v>20</v>
      </c>
      <c r="E1175" s="129" t="s">
        <v>1301</v>
      </c>
      <c r="F1175" s="957"/>
      <c r="I1175" s="970">
        <f>I414</f>
        <v>6885.5</v>
      </c>
      <c r="J1175" s="295"/>
      <c r="K1175" s="157"/>
    </row>
    <row r="1176" spans="3:11" x14ac:dyDescent="0.2">
      <c r="C1176" s="937">
        <f>1/F1174*1</f>
        <v>3.3333333333333335</v>
      </c>
      <c r="D1176" s="129" t="s">
        <v>1087</v>
      </c>
      <c r="E1176" s="130" t="s">
        <v>1302</v>
      </c>
      <c r="F1176" s="295">
        <f>SSR!E13</f>
        <v>2670</v>
      </c>
      <c r="H1176" s="295"/>
      <c r="I1176" s="295">
        <f>+F1176*C1176</f>
        <v>8900</v>
      </c>
      <c r="J1176" s="295"/>
      <c r="K1176" s="157"/>
    </row>
    <row r="1177" spans="3:11" x14ac:dyDescent="0.2">
      <c r="C1177" s="295">
        <f>+INT((RAM!G142-3))</f>
        <v>27</v>
      </c>
      <c r="E1177" s="129" t="s">
        <v>1154</v>
      </c>
      <c r="F1177" s="417">
        <f>SSR!$E$7</f>
        <v>134</v>
      </c>
      <c r="I1177" s="129">
        <f>+F1177*C1177</f>
        <v>3618</v>
      </c>
      <c r="J1177" s="295"/>
      <c r="K1177" s="157"/>
    </row>
    <row r="1178" spans="3:11" x14ac:dyDescent="0.2">
      <c r="E1178" s="129" t="s">
        <v>1290</v>
      </c>
      <c r="F1178" s="1103">
        <f>RAM!H143/100</f>
        <v>0.3</v>
      </c>
      <c r="H1178" s="295"/>
      <c r="I1178" s="295">
        <f>I1176*F1178</f>
        <v>2670</v>
      </c>
      <c r="J1178" s="295"/>
      <c r="K1178" s="157"/>
    </row>
    <row r="1179" spans="3:11" x14ac:dyDescent="0.2">
      <c r="E1179" s="129" t="str">
        <f>+IF($I$4=0%,"---","Municipal allowance")</f>
        <v>Municipal allowance</v>
      </c>
      <c r="F1179" s="928">
        <f>$I$4</f>
        <v>0.2</v>
      </c>
      <c r="H1179" s="295"/>
      <c r="I1179" s="295">
        <f>(I1176+I1178)*F1179*0.25</f>
        <v>578.5</v>
      </c>
      <c r="J1179" s="295"/>
      <c r="K1179" s="157"/>
    </row>
    <row r="1180" spans="3:11" x14ac:dyDescent="0.2">
      <c r="E1180" s="129" t="s">
        <v>2102</v>
      </c>
      <c r="F1180" s="1107"/>
      <c r="G1180" s="1940">
        <f>+$I$5</f>
        <v>0.13614999999999999</v>
      </c>
      <c r="H1180" s="295"/>
      <c r="I1180" s="295">
        <f>SUM(I1176+I1179+I1178+I1177)*G1180</f>
        <v>2146.6089750000001</v>
      </c>
      <c r="J1180" s="295"/>
      <c r="K1180" s="157"/>
    </row>
    <row r="1181" spans="3:11" x14ac:dyDescent="0.2">
      <c r="H1181" s="1097" t="s">
        <v>23</v>
      </c>
      <c r="I1181" s="1108">
        <f>ROUND(SUM(I1175:I1180),1)</f>
        <v>24798.6</v>
      </c>
      <c r="J1181" s="295"/>
      <c r="K1181" s="157"/>
    </row>
    <row r="1182" spans="3:11" x14ac:dyDescent="0.2">
      <c r="H1182" s="1097"/>
      <c r="I1182" s="984"/>
      <c r="J1182" s="295"/>
      <c r="K1182" s="157"/>
    </row>
    <row r="1183" spans="3:11" ht="32.25" customHeight="1" x14ac:dyDescent="0.2">
      <c r="C1183" s="2058" t="s">
        <v>2123</v>
      </c>
      <c r="D1183" s="2058"/>
      <c r="E1183" s="2058"/>
      <c r="F1183" s="2058"/>
      <c r="G1183" s="2058"/>
      <c r="H1183" s="2058"/>
      <c r="I1183" s="2058"/>
      <c r="J1183" s="295"/>
      <c r="K1183" s="157"/>
    </row>
    <row r="1184" spans="3:11" x14ac:dyDescent="0.2">
      <c r="C1184" s="130"/>
      <c r="F1184" s="1115">
        <v>0.15</v>
      </c>
      <c r="J1184" s="295"/>
      <c r="K1184" s="157"/>
    </row>
    <row r="1185" spans="3:11" x14ac:dyDescent="0.2">
      <c r="C1185" s="526">
        <v>1</v>
      </c>
      <c r="D1185" s="515" t="s">
        <v>20</v>
      </c>
      <c r="E1185" s="129" t="s">
        <v>1301</v>
      </c>
      <c r="F1185" s="957"/>
      <c r="I1185" s="970">
        <f>I1175</f>
        <v>6885.5</v>
      </c>
      <c r="J1185" s="295"/>
      <c r="K1185" s="157"/>
    </row>
    <row r="1186" spans="3:11" x14ac:dyDescent="0.2">
      <c r="C1186" s="937">
        <f>1/F1184</f>
        <v>6.666666666666667</v>
      </c>
      <c r="D1186" s="129" t="s">
        <v>1087</v>
      </c>
      <c r="E1186" s="130" t="s">
        <v>1302</v>
      </c>
      <c r="F1186" s="295">
        <f>F1176</f>
        <v>2670</v>
      </c>
      <c r="H1186" s="295"/>
      <c r="I1186" s="295">
        <f>+F1186*C1186</f>
        <v>17800</v>
      </c>
      <c r="J1186" s="295"/>
      <c r="K1186" s="157"/>
    </row>
    <row r="1187" spans="3:11" x14ac:dyDescent="0.2">
      <c r="C1187" s="295">
        <f>C1177+5</f>
        <v>32</v>
      </c>
      <c r="E1187" s="129" t="s">
        <v>1154</v>
      </c>
      <c r="F1187" s="417">
        <f>SSR!$E$7</f>
        <v>134</v>
      </c>
      <c r="I1187" s="129">
        <f>+F1187*C1187</f>
        <v>4288</v>
      </c>
      <c r="J1187" s="295"/>
      <c r="K1187" s="157"/>
    </row>
    <row r="1188" spans="3:11" x14ac:dyDescent="0.2">
      <c r="E1188" s="129" t="s">
        <v>1290</v>
      </c>
      <c r="F1188" s="1103">
        <f>F1178</f>
        <v>0.3</v>
      </c>
      <c r="H1188" s="295"/>
      <c r="I1188" s="295">
        <f>I1186*F1188</f>
        <v>5340</v>
      </c>
      <c r="J1188" s="295"/>
      <c r="K1188" s="157"/>
    </row>
    <row r="1189" spans="3:11" x14ac:dyDescent="0.2">
      <c r="E1189" s="129" t="str">
        <f>+IF($I$4=0%,"---","Municipal allowance")</f>
        <v>Municipal allowance</v>
      </c>
      <c r="F1189" s="928">
        <f>$I$4</f>
        <v>0.2</v>
      </c>
      <c r="H1189" s="295"/>
      <c r="I1189" s="295">
        <f>(I1186+I1188)*F1189*0.25</f>
        <v>1157</v>
      </c>
      <c r="J1189" s="295"/>
      <c r="K1189" s="157"/>
    </row>
    <row r="1190" spans="3:11" x14ac:dyDescent="0.2">
      <c r="E1190" s="129" t="s">
        <v>2102</v>
      </c>
      <c r="F1190" s="1107"/>
      <c r="G1190" s="1940">
        <f>+$I$5</f>
        <v>0.13614999999999999</v>
      </c>
      <c r="H1190" s="295"/>
      <c r="I1190" s="295">
        <f>SUM(I1186+I1189+I1188+I1187)*G1190</f>
        <v>3891.8477499999999</v>
      </c>
      <c r="J1190" s="295"/>
      <c r="K1190" s="157"/>
    </row>
    <row r="1191" spans="3:11" x14ac:dyDescent="0.2">
      <c r="H1191" s="1097" t="s">
        <v>23</v>
      </c>
      <c r="I1191" s="1108">
        <f>ROUND(SUM(I1185:I1190),1)</f>
        <v>39362.300000000003</v>
      </c>
      <c r="J1191" s="295"/>
      <c r="K1191" s="157"/>
    </row>
    <row r="1192" spans="3:11" x14ac:dyDescent="0.2">
      <c r="H1192" s="1097"/>
      <c r="I1192" s="984"/>
      <c r="J1192" s="295"/>
      <c r="K1192" s="157"/>
    </row>
    <row r="1193" spans="3:11" ht="30" customHeight="1" x14ac:dyDescent="0.2">
      <c r="C1193" s="2058" t="s">
        <v>2121</v>
      </c>
      <c r="D1193" s="2058"/>
      <c r="E1193" s="2058"/>
      <c r="F1193" s="2058"/>
      <c r="G1193" s="2058"/>
      <c r="H1193" s="2058"/>
      <c r="I1193" s="2058"/>
      <c r="J1193" s="295"/>
      <c r="K1193" s="157"/>
    </row>
    <row r="1194" spans="3:11" x14ac:dyDescent="0.2">
      <c r="C1194" s="130"/>
      <c r="F1194" s="1050">
        <f>RAM!D151</f>
        <v>0.3</v>
      </c>
      <c r="G1194" s="1050">
        <f>RAM!E151</f>
        <v>0.4</v>
      </c>
      <c r="H1194" s="295"/>
      <c r="J1194" s="295"/>
      <c r="K1194" s="157"/>
    </row>
    <row r="1195" spans="3:11" x14ac:dyDescent="0.2">
      <c r="C1195" s="526">
        <v>1</v>
      </c>
      <c r="D1195" s="515" t="s">
        <v>20</v>
      </c>
      <c r="E1195" s="129" t="s">
        <v>1301</v>
      </c>
      <c r="F1195" s="1047"/>
      <c r="G1195" s="1047"/>
      <c r="H1195" s="295"/>
      <c r="I1195" s="970">
        <f>I1128</f>
        <v>6885.5</v>
      </c>
      <c r="J1195" s="295"/>
      <c r="K1195" s="157"/>
    </row>
    <row r="1196" spans="3:11" x14ac:dyDescent="0.2">
      <c r="C1196" s="295">
        <f>+(1/(F1194*G1194))*(2*F1194+G1194)</f>
        <v>8.3333333333333339</v>
      </c>
      <c r="D1196" s="129" t="s">
        <v>1087</v>
      </c>
      <c r="E1196" s="130" t="s">
        <v>1300</v>
      </c>
      <c r="F1196" s="1091">
        <f>SSR!$E$12</f>
        <v>1206</v>
      </c>
      <c r="G1196" s="1093" t="s">
        <v>1292</v>
      </c>
      <c r="I1196" s="295">
        <f>C1196*F1196</f>
        <v>10050</v>
      </c>
      <c r="J1196" s="295"/>
      <c r="K1196" s="157"/>
    </row>
    <row r="1197" spans="3:11" x14ac:dyDescent="0.2">
      <c r="C1197" s="295">
        <f>+C1177</f>
        <v>27</v>
      </c>
      <c r="E1197" s="129" t="s">
        <v>1154</v>
      </c>
      <c r="F1197" s="417">
        <f>SSR!$E$7</f>
        <v>134</v>
      </c>
      <c r="I1197" s="295">
        <f>+F1197*C1197</f>
        <v>3618</v>
      </c>
      <c r="J1197" s="295"/>
      <c r="K1197" s="157"/>
    </row>
    <row r="1198" spans="3:11" x14ac:dyDescent="0.2">
      <c r="E1198" s="129" t="s">
        <v>1290</v>
      </c>
      <c r="F1198" s="1103">
        <f>F1188</f>
        <v>0.3</v>
      </c>
      <c r="H1198" s="295"/>
      <c r="I1198" s="295">
        <f>I1196*F1198</f>
        <v>3015</v>
      </c>
      <c r="J1198" s="295"/>
      <c r="K1198" s="157"/>
    </row>
    <row r="1199" spans="3:11" x14ac:dyDescent="0.2">
      <c r="E1199" s="129" t="str">
        <f>+IF($I$4=0%,"---","Municipal allowance")</f>
        <v>Municipal allowance</v>
      </c>
      <c r="F1199" s="928">
        <f>$I$4</f>
        <v>0.2</v>
      </c>
      <c r="H1199" s="295"/>
      <c r="I1199" s="295">
        <f>(I1196+I1198)*F1199*0.25</f>
        <v>653.25</v>
      </c>
      <c r="J1199" s="295"/>
      <c r="K1199" s="157"/>
    </row>
    <row r="1200" spans="3:11" x14ac:dyDescent="0.2">
      <c r="E1200" s="129" t="s">
        <v>2102</v>
      </c>
      <c r="F1200" s="1107"/>
      <c r="G1200" s="1940">
        <f>+$I$5</f>
        <v>0.13614999999999999</v>
      </c>
      <c r="H1200" s="295"/>
      <c r="I1200" s="295">
        <f>SUM(I1196+I1199+I1198+I1197)*G1200</f>
        <v>2360.3304374999998</v>
      </c>
      <c r="J1200" s="295"/>
      <c r="K1200" s="157"/>
    </row>
    <row r="1201" spans="3:11" x14ac:dyDescent="0.2">
      <c r="H1201" s="1097" t="s">
        <v>23</v>
      </c>
      <c r="I1201" s="1098">
        <f>ROUND(SUM(I1195:I1200),1)</f>
        <v>26582.1</v>
      </c>
      <c r="J1201" s="295"/>
      <c r="K1201" s="157"/>
    </row>
    <row r="1202" spans="3:11" x14ac:dyDescent="0.2">
      <c r="H1202" s="1097"/>
      <c r="I1202" s="984"/>
      <c r="J1202" s="295"/>
      <c r="K1202" s="157"/>
    </row>
    <row r="1203" spans="3:11" ht="34.5" customHeight="1" x14ac:dyDescent="0.2">
      <c r="C1203" s="2058" t="s">
        <v>2124</v>
      </c>
      <c r="D1203" s="2058"/>
      <c r="E1203" s="2058"/>
      <c r="F1203" s="2058"/>
      <c r="G1203" s="2058"/>
      <c r="H1203" s="2058"/>
      <c r="I1203" s="2058"/>
      <c r="J1203" s="295"/>
      <c r="K1203" s="157"/>
    </row>
    <row r="1204" spans="3:11" x14ac:dyDescent="0.2">
      <c r="C1204" s="130"/>
      <c r="F1204" s="1085">
        <f>'Shaft type'!E171</f>
        <v>0.2</v>
      </c>
      <c r="H1204" s="295"/>
      <c r="J1204" s="295"/>
      <c r="K1204" s="157"/>
    </row>
    <row r="1205" spans="3:11" x14ac:dyDescent="0.2">
      <c r="C1205" s="526">
        <v>1</v>
      </c>
      <c r="D1205" s="515" t="s">
        <v>20</v>
      </c>
      <c r="E1205" s="129" t="s">
        <v>1301</v>
      </c>
      <c r="F1205" s="940"/>
      <c r="H1205" s="295"/>
      <c r="I1205" s="970">
        <f>I1110</f>
        <v>8709.2999999999993</v>
      </c>
      <c r="J1205" s="295"/>
      <c r="K1205" s="157"/>
    </row>
    <row r="1206" spans="3:11" x14ac:dyDescent="0.2">
      <c r="C1206" s="295">
        <f>1/F1204*1</f>
        <v>5</v>
      </c>
      <c r="D1206" s="129" t="s">
        <v>1087</v>
      </c>
      <c r="E1206" s="130" t="s">
        <v>1284</v>
      </c>
      <c r="F1206" s="295">
        <f>SSR!$E$36</f>
        <v>2463</v>
      </c>
      <c r="H1206" s="1093"/>
      <c r="I1206" s="295">
        <f>C1206*F1206</f>
        <v>12315</v>
      </c>
      <c r="J1206" s="295"/>
      <c r="K1206" s="157"/>
    </row>
    <row r="1207" spans="3:11" x14ac:dyDescent="0.2">
      <c r="C1207" s="1079">
        <f>C1197+3</f>
        <v>30</v>
      </c>
      <c r="E1207" s="129" t="s">
        <v>1154</v>
      </c>
      <c r="F1207" s="417">
        <f>SSR!$E$7</f>
        <v>134</v>
      </c>
      <c r="I1207" s="129">
        <f>+F1207*C1207</f>
        <v>4020</v>
      </c>
      <c r="J1207" s="295"/>
      <c r="K1207" s="157"/>
    </row>
    <row r="1208" spans="3:11" x14ac:dyDescent="0.2">
      <c r="C1208" s="422" t="s">
        <v>1306</v>
      </c>
      <c r="E1208" s="129" t="s">
        <v>1290</v>
      </c>
      <c r="F1208" s="1103">
        <f>RAM!H143/100</f>
        <v>0.3</v>
      </c>
      <c r="H1208" s="295"/>
      <c r="I1208" s="295">
        <f>I1206*F1208</f>
        <v>3694.5</v>
      </c>
      <c r="J1208" s="295"/>
      <c r="K1208" s="157"/>
    </row>
    <row r="1209" spans="3:11" x14ac:dyDescent="0.2">
      <c r="E1209" s="129" t="str">
        <f>+IF($I$4=0%,"---","Municipal allowance")</f>
        <v>Municipal allowance</v>
      </c>
      <c r="F1209" s="928">
        <f>$I$4</f>
        <v>0.2</v>
      </c>
      <c r="H1209" s="295"/>
      <c r="I1209" s="295">
        <f>(I1206+I1208)*F1209*0.25</f>
        <v>800.47500000000002</v>
      </c>
      <c r="J1209" s="295"/>
      <c r="K1209" s="157"/>
    </row>
    <row r="1210" spans="3:11" x14ac:dyDescent="0.2">
      <c r="E1210" s="129" t="s">
        <v>2102</v>
      </c>
      <c r="F1210" s="1107"/>
      <c r="G1210" s="1940">
        <f>+$I$5</f>
        <v>0.13614999999999999</v>
      </c>
      <c r="H1210" s="295"/>
      <c r="I1210" s="295">
        <f>SUM(I1206+I1209+I1208+I1207)*G1210</f>
        <v>2836.0010962499996</v>
      </c>
      <c r="J1210" s="295"/>
      <c r="K1210" s="157"/>
    </row>
    <row r="1211" spans="3:11" x14ac:dyDescent="0.2">
      <c r="H1211" s="1097" t="s">
        <v>23</v>
      </c>
      <c r="I1211" s="1098">
        <f>ROUND(SUM(I1205:I1210),1)</f>
        <v>32375.3</v>
      </c>
      <c r="J1211" s="295"/>
      <c r="K1211" s="157"/>
    </row>
    <row r="1212" spans="3:11" x14ac:dyDescent="0.2">
      <c r="H1212" s="1097"/>
      <c r="I1212" s="984"/>
      <c r="J1212" s="295"/>
      <c r="K1212" s="157"/>
    </row>
    <row r="1213" spans="3:11" ht="25.5" customHeight="1" x14ac:dyDescent="0.2">
      <c r="C1213" s="2058" t="s">
        <v>2121</v>
      </c>
      <c r="D1213" s="2058"/>
      <c r="E1213" s="2058"/>
      <c r="F1213" s="2058"/>
      <c r="G1213" s="2058"/>
      <c r="H1213" s="2058"/>
      <c r="I1213" s="2058"/>
      <c r="J1213" s="295"/>
      <c r="K1213" s="157"/>
    </row>
    <row r="1214" spans="3:11" x14ac:dyDescent="0.2">
      <c r="C1214" s="130"/>
      <c r="F1214" s="1050">
        <f>RAM!D153</f>
        <v>0.3</v>
      </c>
      <c r="G1214" s="1050">
        <f>RAM!E153</f>
        <v>0.4</v>
      </c>
      <c r="H1214" s="295"/>
      <c r="J1214" s="295"/>
      <c r="K1214" s="157"/>
    </row>
    <row r="1215" spans="3:11" x14ac:dyDescent="0.2">
      <c r="C1215" s="526">
        <v>1</v>
      </c>
      <c r="D1215" s="515" t="s">
        <v>20</v>
      </c>
      <c r="E1215" s="129" t="s">
        <v>1301</v>
      </c>
      <c r="F1215" s="1047"/>
      <c r="G1215" s="1047"/>
      <c r="H1215" s="295"/>
      <c r="I1215" s="970">
        <f>I1195</f>
        <v>6885.5</v>
      </c>
      <c r="J1215" s="295"/>
      <c r="K1215" s="157"/>
    </row>
    <row r="1216" spans="3:11" x14ac:dyDescent="0.2">
      <c r="C1216" s="295">
        <f>+(1/(F1214*G1214))*(2*F1214+G1214)</f>
        <v>8.3333333333333339</v>
      </c>
      <c r="D1216" s="129" t="s">
        <v>1087</v>
      </c>
      <c r="E1216" s="130" t="s">
        <v>1300</v>
      </c>
      <c r="F1216" s="1091">
        <f>SSR!$E$12</f>
        <v>1206</v>
      </c>
      <c r="G1216" s="1093" t="s">
        <v>1292</v>
      </c>
      <c r="I1216" s="295">
        <f>C1216*F1216</f>
        <v>10050</v>
      </c>
      <c r="J1216" s="295"/>
      <c r="K1216" s="157"/>
    </row>
    <row r="1217" spans="3:11" x14ac:dyDescent="0.2">
      <c r="C1217" s="295">
        <f>C1207+3</f>
        <v>33</v>
      </c>
      <c r="E1217" s="129" t="s">
        <v>1154</v>
      </c>
      <c r="F1217" s="417">
        <f>SSR!$E$7</f>
        <v>134</v>
      </c>
      <c r="I1217" s="295">
        <f>+F1217*C1217</f>
        <v>4422</v>
      </c>
      <c r="J1217" s="295"/>
      <c r="K1217" s="157"/>
    </row>
    <row r="1218" spans="3:11" x14ac:dyDescent="0.2">
      <c r="E1218" s="129" t="s">
        <v>1290</v>
      </c>
      <c r="F1218" s="1103">
        <f>F1208</f>
        <v>0.3</v>
      </c>
      <c r="H1218" s="295"/>
      <c r="I1218" s="295">
        <f>I1216*F1218</f>
        <v>3015</v>
      </c>
      <c r="J1218" s="295"/>
      <c r="K1218" s="157"/>
    </row>
    <row r="1219" spans="3:11" x14ac:dyDescent="0.2">
      <c r="E1219" s="129" t="str">
        <f>+IF($I$4=0%,"---","Municipal allowance")</f>
        <v>Municipal allowance</v>
      </c>
      <c r="F1219" s="928">
        <f>$I$4</f>
        <v>0.2</v>
      </c>
      <c r="H1219" s="295"/>
      <c r="I1219" s="295">
        <f>(I1216+I1218)*F1219*0.25</f>
        <v>653.25</v>
      </c>
      <c r="J1219" s="295"/>
      <c r="K1219" s="157"/>
    </row>
    <row r="1220" spans="3:11" x14ac:dyDescent="0.2">
      <c r="E1220" s="129" t="s">
        <v>2102</v>
      </c>
      <c r="F1220" s="1107"/>
      <c r="G1220" s="1940">
        <f>+$I$5</f>
        <v>0.13614999999999999</v>
      </c>
      <c r="H1220" s="295"/>
      <c r="I1220" s="295">
        <f>SUM(I1216+I1219+I1218+I1217)*G1220</f>
        <v>2469.7950375</v>
      </c>
      <c r="J1220" s="295"/>
      <c r="K1220" s="157"/>
    </row>
    <row r="1221" spans="3:11" x14ac:dyDescent="0.2">
      <c r="H1221" s="1097" t="s">
        <v>23</v>
      </c>
      <c r="I1221" s="1098">
        <f>ROUND(SUM(I1215:I1220),1)</f>
        <v>27495.5</v>
      </c>
      <c r="J1221" s="295"/>
      <c r="K1221" s="157"/>
    </row>
    <row r="1222" spans="3:11" x14ac:dyDescent="0.2">
      <c r="H1222" s="1097"/>
      <c r="I1222" s="984"/>
      <c r="J1222" s="295"/>
      <c r="K1222" s="157"/>
    </row>
    <row r="1223" spans="3:11" ht="33.75" customHeight="1" x14ac:dyDescent="0.2">
      <c r="C1223" s="2058" t="s">
        <v>2125</v>
      </c>
      <c r="D1223" s="2058"/>
      <c r="E1223" s="2058"/>
      <c r="F1223" s="2058"/>
      <c r="G1223" s="2058"/>
      <c r="H1223" s="2058"/>
      <c r="I1223" s="2058"/>
      <c r="J1223" s="295"/>
      <c r="K1223" s="157"/>
    </row>
    <row r="1224" spans="3:11" x14ac:dyDescent="0.2">
      <c r="C1224" s="130"/>
      <c r="F1224" s="1085">
        <f>RAM!E154</f>
        <v>0.15</v>
      </c>
      <c r="H1224" s="295"/>
      <c r="J1224" s="295"/>
      <c r="K1224" s="157"/>
    </row>
    <row r="1225" spans="3:11" x14ac:dyDescent="0.2">
      <c r="C1225" s="526">
        <v>1</v>
      </c>
      <c r="D1225" s="515" t="s">
        <v>20</v>
      </c>
      <c r="E1225" s="129" t="s">
        <v>1301</v>
      </c>
      <c r="F1225" s="940"/>
      <c r="H1225" s="295"/>
      <c r="I1225" s="970">
        <f>I1205</f>
        <v>8709.2999999999993</v>
      </c>
      <c r="J1225" s="295"/>
      <c r="K1225" s="157"/>
    </row>
    <row r="1226" spans="3:11" x14ac:dyDescent="0.2">
      <c r="C1226" s="295">
        <f>1/F1224*1</f>
        <v>6.666666666666667</v>
      </c>
      <c r="D1226" s="129" t="s">
        <v>1087</v>
      </c>
      <c r="E1226" s="130" t="s">
        <v>1284</v>
      </c>
      <c r="F1226" s="295">
        <f>SSR!$E$36</f>
        <v>2463</v>
      </c>
      <c r="H1226" s="1093"/>
      <c r="I1226" s="295">
        <f>C1226*F1226</f>
        <v>16420</v>
      </c>
      <c r="J1226" s="295"/>
      <c r="K1226" s="157"/>
    </row>
    <row r="1227" spans="3:11" x14ac:dyDescent="0.2">
      <c r="C1227" s="295">
        <f>C1207</f>
        <v>30</v>
      </c>
      <c r="E1227" s="129" t="s">
        <v>1154</v>
      </c>
      <c r="F1227" s="417">
        <f>SSR!$E$7</f>
        <v>134</v>
      </c>
      <c r="I1227" s="129">
        <f>+F1227*C1227</f>
        <v>4020</v>
      </c>
      <c r="J1227" s="295"/>
      <c r="K1227" s="157"/>
    </row>
    <row r="1228" spans="3:11" x14ac:dyDescent="0.2">
      <c r="E1228" s="129" t="s">
        <v>1290</v>
      </c>
      <c r="F1228" s="1103">
        <f>RAM!$H$143/100</f>
        <v>0.3</v>
      </c>
      <c r="H1228" s="295"/>
      <c r="I1228" s="295">
        <f>I1226*F1228</f>
        <v>4926</v>
      </c>
      <c r="J1228" s="295"/>
      <c r="K1228" s="157"/>
    </row>
    <row r="1229" spans="3:11" x14ac:dyDescent="0.2">
      <c r="E1229" s="129" t="str">
        <f>+IF($I$4=0%,"---","Municipal allowance")</f>
        <v>Municipal allowance</v>
      </c>
      <c r="F1229" s="928">
        <f>$I$4</f>
        <v>0.2</v>
      </c>
      <c r="H1229" s="295"/>
      <c r="I1229" s="295">
        <f>(I1226+I1228)*F1229*0.25</f>
        <v>1067.3</v>
      </c>
      <c r="J1229" s="295"/>
      <c r="K1229" s="157"/>
    </row>
    <row r="1230" spans="3:11" x14ac:dyDescent="0.2">
      <c r="E1230" s="129" t="s">
        <v>2102</v>
      </c>
      <c r="F1230" s="1107"/>
      <c r="G1230" s="1940">
        <f>+$I$5</f>
        <v>0.13614999999999999</v>
      </c>
      <c r="H1230" s="295"/>
      <c r="I1230" s="295">
        <f>SUM(I1226+I1229+I1228+I1227)*G1230</f>
        <v>3598.8937949999995</v>
      </c>
      <c r="J1230" s="295"/>
      <c r="K1230" s="157"/>
    </row>
    <row r="1231" spans="3:11" x14ac:dyDescent="0.2">
      <c r="H1231" s="1097" t="s">
        <v>23</v>
      </c>
      <c r="I1231" s="1098">
        <f>ROUND(SUM(I1225:I1230),1)</f>
        <v>38741.5</v>
      </c>
      <c r="J1231" s="295"/>
      <c r="K1231" s="157"/>
    </row>
    <row r="1232" spans="3:11" x14ac:dyDescent="0.2">
      <c r="H1232" s="1097"/>
      <c r="I1232" s="984"/>
      <c r="J1232" s="295"/>
      <c r="K1232" s="157"/>
    </row>
    <row r="1233" spans="3:11" ht="30" customHeight="1" x14ac:dyDescent="0.2">
      <c r="C1233" s="2058" t="s">
        <v>2126</v>
      </c>
      <c r="D1233" s="2058"/>
      <c r="E1233" s="2058"/>
      <c r="F1233" s="2058"/>
      <c r="G1233" s="2058"/>
      <c r="H1233" s="2058"/>
      <c r="I1233" s="2058"/>
      <c r="J1233" s="295"/>
      <c r="K1233" s="157"/>
    </row>
    <row r="1234" spans="3:11" x14ac:dyDescent="0.2">
      <c r="C1234" s="130"/>
      <c r="F1234" s="1085">
        <f>RAM!E155</f>
        <v>0.15</v>
      </c>
      <c r="H1234" s="295"/>
      <c r="J1234" s="295"/>
      <c r="K1234" s="157"/>
    </row>
    <row r="1235" spans="3:11" x14ac:dyDescent="0.2">
      <c r="C1235" s="526">
        <v>1</v>
      </c>
      <c r="D1235" s="515" t="s">
        <v>20</v>
      </c>
      <c r="E1235" s="129" t="s">
        <v>1301</v>
      </c>
      <c r="F1235" s="940"/>
      <c r="H1235" s="295"/>
      <c r="I1235" s="970">
        <f>I1185</f>
        <v>6885.5</v>
      </c>
      <c r="J1235" s="295"/>
      <c r="K1235" s="157"/>
    </row>
    <row r="1236" spans="3:11" x14ac:dyDescent="0.2">
      <c r="C1236" s="295">
        <f>1/F1234</f>
        <v>6.666666666666667</v>
      </c>
      <c r="D1236" s="129" t="s">
        <v>1087</v>
      </c>
      <c r="E1236" s="130" t="s">
        <v>1307</v>
      </c>
      <c r="F1236" s="960">
        <f>SSR!G13</f>
        <v>6302</v>
      </c>
      <c r="H1236" s="1093"/>
      <c r="I1236" s="295">
        <f>C1236*F1236</f>
        <v>42013.333333333336</v>
      </c>
      <c r="J1236" s="295"/>
      <c r="K1236" s="157"/>
    </row>
    <row r="1237" spans="3:11" x14ac:dyDescent="0.2">
      <c r="C1237" s="295">
        <f>+ROUND((('Shaft type'!$E$18+'Shaft type'!$E$45)-3),0)</f>
        <v>29</v>
      </c>
      <c r="E1237" s="129" t="s">
        <v>1154</v>
      </c>
      <c r="F1237" s="417">
        <f>SSR!$E$7</f>
        <v>134</v>
      </c>
      <c r="I1237" s="129">
        <f>+F1237*C1237</f>
        <v>3886</v>
      </c>
      <c r="J1237" s="295"/>
      <c r="K1237" s="157"/>
    </row>
    <row r="1238" spans="3:11" x14ac:dyDescent="0.2">
      <c r="E1238" s="129" t="s">
        <v>1290</v>
      </c>
      <c r="F1238" s="1103">
        <f>RAM!$H$143/100</f>
        <v>0.3</v>
      </c>
      <c r="H1238" s="295"/>
      <c r="I1238" s="295">
        <f>I1236*F1238</f>
        <v>12604</v>
      </c>
      <c r="J1238" s="295"/>
      <c r="K1238" s="157"/>
    </row>
    <row r="1239" spans="3:11" x14ac:dyDescent="0.2">
      <c r="E1239" s="129" t="str">
        <f>+IF($I$4=0%,"---","Municipal allowance")</f>
        <v>Municipal allowance</v>
      </c>
      <c r="F1239" s="928">
        <f>$I$4</f>
        <v>0.2</v>
      </c>
      <c r="H1239" s="295"/>
      <c r="I1239" s="295">
        <f>(I1236+I1238)*F1239*0.25</f>
        <v>2730.8666666666668</v>
      </c>
      <c r="J1239" s="295"/>
      <c r="K1239" s="157"/>
    </row>
    <row r="1240" spans="3:11" x14ac:dyDescent="0.2">
      <c r="E1240" s="129" t="s">
        <v>2102</v>
      </c>
      <c r="F1240" s="1107"/>
      <c r="G1240" s="1940">
        <f>+$I$5</f>
        <v>0.13614999999999999</v>
      </c>
      <c r="H1240" s="295"/>
      <c r="I1240" s="295">
        <f>SUM(I1236+I1239+I1238+I1237)*G1240</f>
        <v>8337.0363300000008</v>
      </c>
      <c r="J1240" s="295"/>
      <c r="K1240" s="157"/>
    </row>
    <row r="1241" spans="3:11" x14ac:dyDescent="0.2">
      <c r="H1241" s="1097" t="s">
        <v>23</v>
      </c>
      <c r="I1241" s="1098">
        <f>ROUND(SUM(I1235:I1240),1)</f>
        <v>76456.7</v>
      </c>
      <c r="J1241" s="295"/>
      <c r="K1241" s="157"/>
    </row>
    <row r="1242" spans="3:11" x14ac:dyDescent="0.2">
      <c r="H1242" s="1097"/>
      <c r="I1242" s="984"/>
      <c r="J1242" s="295"/>
      <c r="K1242" s="157"/>
    </row>
    <row r="1243" spans="3:11" ht="28.5" customHeight="1" x14ac:dyDescent="0.2">
      <c r="C1243" s="2058" t="s">
        <v>2127</v>
      </c>
      <c r="D1243" s="2058"/>
      <c r="E1243" s="2058"/>
      <c r="F1243" s="2058"/>
      <c r="G1243" s="2058"/>
      <c r="H1243" s="2058"/>
      <c r="I1243" s="2058"/>
      <c r="J1243" s="295"/>
      <c r="K1243" s="157"/>
    </row>
    <row r="1244" spans="3:11" x14ac:dyDescent="0.2">
      <c r="C1244" s="130"/>
      <c r="F1244" s="1111">
        <f>RAM!E156</f>
        <v>0.125</v>
      </c>
      <c r="J1244" s="295"/>
      <c r="K1244" s="157"/>
    </row>
    <row r="1245" spans="3:11" x14ac:dyDescent="0.2">
      <c r="C1245" s="526">
        <v>1</v>
      </c>
      <c r="D1245" s="515" t="s">
        <v>20</v>
      </c>
      <c r="E1245" s="129" t="s">
        <v>1301</v>
      </c>
      <c r="F1245" s="955"/>
      <c r="I1245" s="970">
        <f>I1235</f>
        <v>6885.5</v>
      </c>
      <c r="J1245" s="295"/>
      <c r="K1245" s="157"/>
    </row>
    <row r="1246" spans="3:11" x14ac:dyDescent="0.2">
      <c r="C1246" s="937">
        <f>1/F1244</f>
        <v>8</v>
      </c>
      <c r="D1246" s="129" t="s">
        <v>1087</v>
      </c>
      <c r="E1246" s="130" t="s">
        <v>1302</v>
      </c>
      <c r="F1246" s="295">
        <f>SSR!$E$13</f>
        <v>2670</v>
      </c>
      <c r="H1246" s="295"/>
      <c r="I1246" s="295">
        <f>+F1246*C1246</f>
        <v>21360</v>
      </c>
      <c r="J1246" s="295"/>
      <c r="K1246" s="157"/>
    </row>
    <row r="1247" spans="3:11" x14ac:dyDescent="0.2">
      <c r="C1247" s="295">
        <f>C1217</f>
        <v>33</v>
      </c>
      <c r="E1247" s="129" t="s">
        <v>1154</v>
      </c>
      <c r="F1247" s="417">
        <f>SSR!$E$7</f>
        <v>134</v>
      </c>
      <c r="I1247" s="129">
        <f>+F1247*C1247</f>
        <v>4422</v>
      </c>
      <c r="J1247" s="295"/>
      <c r="K1247" s="157"/>
    </row>
    <row r="1248" spans="3:11" x14ac:dyDescent="0.2">
      <c r="E1248" s="129" t="s">
        <v>1290</v>
      </c>
      <c r="F1248" s="1103">
        <f>RAM!$H$143/100</f>
        <v>0.3</v>
      </c>
      <c r="H1248" s="295"/>
      <c r="I1248" s="295">
        <f>I1246*F1248</f>
        <v>6408</v>
      </c>
      <c r="J1248" s="295"/>
      <c r="K1248" s="157"/>
    </row>
    <row r="1249" spans="3:11" x14ac:dyDescent="0.2">
      <c r="E1249" s="129" t="str">
        <f>+IF($I$4=0%,"---","Municipal allowance")</f>
        <v>Municipal allowance</v>
      </c>
      <c r="F1249" s="928">
        <f>$I$4</f>
        <v>0.2</v>
      </c>
      <c r="H1249" s="295"/>
      <c r="I1249" s="295">
        <f>(I1246+I1248)*F1249*0.25</f>
        <v>1388.4</v>
      </c>
      <c r="J1249" s="295"/>
      <c r="K1249" s="157"/>
    </row>
    <row r="1250" spans="3:11" x14ac:dyDescent="0.2">
      <c r="E1250" s="129" t="s">
        <v>2102</v>
      </c>
      <c r="F1250" s="1107"/>
      <c r="G1250" s="1940">
        <f>+$I$5</f>
        <v>0.13614999999999999</v>
      </c>
      <c r="H1250" s="295"/>
      <c r="I1250" s="295">
        <f>SUM(I1246+I1249+I1248+I1247)*G1250</f>
        <v>4571.6991600000001</v>
      </c>
      <c r="J1250" s="295"/>
      <c r="K1250" s="157"/>
    </row>
    <row r="1251" spans="3:11" x14ac:dyDescent="0.2">
      <c r="H1251" s="1097" t="s">
        <v>23</v>
      </c>
      <c r="I1251" s="1108">
        <f>ROUND(SUM(I1245:I1250),1)</f>
        <v>45035.6</v>
      </c>
      <c r="J1251" s="295"/>
      <c r="K1251" s="157"/>
    </row>
    <row r="1252" spans="3:11" x14ac:dyDescent="0.2">
      <c r="H1252" s="1097"/>
      <c r="I1252" s="984"/>
      <c r="J1252" s="295"/>
      <c r="K1252" s="157"/>
    </row>
    <row r="1253" spans="3:11" ht="31.5" customHeight="1" x14ac:dyDescent="0.2">
      <c r="C1253" s="2058" t="s">
        <v>2128</v>
      </c>
      <c r="D1253" s="2058"/>
      <c r="E1253" s="2058"/>
      <c r="F1253" s="2058"/>
      <c r="G1253" s="2058"/>
      <c r="H1253" s="2058"/>
      <c r="I1253" s="2058"/>
      <c r="J1253" s="295"/>
      <c r="K1253" s="157"/>
    </row>
    <row r="1254" spans="3:11" x14ac:dyDescent="0.2">
      <c r="C1254" s="130"/>
      <c r="F1254" s="1096">
        <f>'Shaft type'!F214</f>
        <v>0.125</v>
      </c>
      <c r="H1254" s="295"/>
      <c r="J1254" s="295"/>
      <c r="K1254" s="157"/>
    </row>
    <row r="1255" spans="3:11" x14ac:dyDescent="0.2">
      <c r="C1255" s="526">
        <v>1</v>
      </c>
      <c r="D1255" s="515" t="s">
        <v>20</v>
      </c>
      <c r="E1255" s="129" t="s">
        <v>1301</v>
      </c>
      <c r="F1255" s="1116"/>
      <c r="H1255" s="295"/>
      <c r="I1255" s="970">
        <f>I1245</f>
        <v>6885.5</v>
      </c>
      <c r="J1255" s="295"/>
      <c r="K1255" s="157"/>
    </row>
    <row r="1256" spans="3:11" x14ac:dyDescent="0.2">
      <c r="C1256" s="295">
        <f>1/F1254</f>
        <v>8</v>
      </c>
      <c r="D1256" s="129" t="s">
        <v>1087</v>
      </c>
      <c r="E1256" s="130" t="s">
        <v>1307</v>
      </c>
      <c r="F1256" s="960">
        <f>F1236</f>
        <v>6302</v>
      </c>
      <c r="H1256" s="1093"/>
      <c r="I1256" s="295">
        <f>C1256*F1256</f>
        <v>50416</v>
      </c>
      <c r="J1256" s="295"/>
      <c r="K1256" s="157"/>
    </row>
    <row r="1257" spans="3:11" x14ac:dyDescent="0.2">
      <c r="C1257" s="295">
        <v>0</v>
      </c>
      <c r="E1257" s="129" t="s">
        <v>1154</v>
      </c>
      <c r="F1257" s="417">
        <f>SSR!$E$7</f>
        <v>134</v>
      </c>
      <c r="I1257" s="129">
        <f>+F1257*C1257</f>
        <v>0</v>
      </c>
      <c r="J1257" s="295"/>
      <c r="K1257" s="157"/>
    </row>
    <row r="1258" spans="3:11" x14ac:dyDescent="0.2">
      <c r="E1258" s="129" t="s">
        <v>1290</v>
      </c>
      <c r="F1258" s="1103">
        <f>RAM!$H$143/100</f>
        <v>0.3</v>
      </c>
      <c r="H1258" s="295"/>
      <c r="I1258" s="295">
        <f>I1256*F1258</f>
        <v>15124.8</v>
      </c>
      <c r="J1258" s="295"/>
      <c r="K1258" s="157"/>
    </row>
    <row r="1259" spans="3:11" x14ac:dyDescent="0.2">
      <c r="E1259" s="129" t="str">
        <f>+IF($I$4=0%,"---","Municipal allowance")</f>
        <v>Municipal allowance</v>
      </c>
      <c r="F1259" s="928">
        <f>$I$4</f>
        <v>0.2</v>
      </c>
      <c r="H1259" s="295"/>
      <c r="I1259" s="295">
        <f>(I1256+I1258)*F1259*0.25</f>
        <v>3277.0400000000004</v>
      </c>
      <c r="J1259" s="295"/>
      <c r="K1259" s="157"/>
    </row>
    <row r="1260" spans="3:11" x14ac:dyDescent="0.2">
      <c r="E1260" s="129" t="s">
        <v>2102</v>
      </c>
      <c r="F1260" s="1107"/>
      <c r="G1260" s="1940">
        <f>+$I$5</f>
        <v>0.13614999999999999</v>
      </c>
      <c r="H1260" s="295"/>
      <c r="I1260" s="295">
        <f>SUM(I1256+I1259+I1258+I1257)*G1260</f>
        <v>9369.5489159999997</v>
      </c>
      <c r="J1260" s="295"/>
      <c r="K1260" s="157"/>
    </row>
    <row r="1261" spans="3:11" x14ac:dyDescent="0.2">
      <c r="E1261" s="129" t="s">
        <v>1295</v>
      </c>
      <c r="H1261" s="1097" t="s">
        <v>23</v>
      </c>
      <c r="I1261" s="1098">
        <f>SUM(I1255:I1260)</f>
        <v>85072.888915999996</v>
      </c>
      <c r="J1261" s="295"/>
      <c r="K1261" s="157"/>
    </row>
    <row r="1262" spans="3:11" x14ac:dyDescent="0.2">
      <c r="E1262" s="129" t="s">
        <v>1296</v>
      </c>
      <c r="F1262" s="552" t="s">
        <v>1305</v>
      </c>
      <c r="G1262" s="417">
        <f>SSR!$E$7*3</f>
        <v>402</v>
      </c>
      <c r="H1262" s="295">
        <f>+I1261+$G$1262</f>
        <v>85474.888915999996</v>
      </c>
      <c r="I1262" s="980">
        <f t="shared" ref="I1262:I1270" si="42">+H1262+$G$1282*$I$5</f>
        <v>85493.133015999992</v>
      </c>
      <c r="J1262" s="295"/>
      <c r="K1262" s="157"/>
    </row>
    <row r="1263" spans="3:11" x14ac:dyDescent="0.2">
      <c r="E1263" s="129" t="s">
        <v>1297</v>
      </c>
      <c r="H1263" s="295">
        <f>+I1262+$G$1262</f>
        <v>85895.133015999992</v>
      </c>
      <c r="I1263" s="980">
        <f t="shared" si="42"/>
        <v>85913.377115999989</v>
      </c>
      <c r="J1263" s="295"/>
      <c r="K1263" s="157"/>
    </row>
    <row r="1264" spans="3:11" x14ac:dyDescent="0.2">
      <c r="E1264" s="129" t="s">
        <v>1308</v>
      </c>
      <c r="H1264" s="295">
        <f t="shared" ref="H1264:H1270" si="43">+I1263+$G$1262</f>
        <v>86315.377115999989</v>
      </c>
      <c r="I1264" s="980">
        <f t="shared" si="42"/>
        <v>86333.621215999985</v>
      </c>
      <c r="J1264" s="295"/>
      <c r="K1264" s="157"/>
    </row>
    <row r="1265" spans="2:11" x14ac:dyDescent="0.2">
      <c r="E1265" s="129" t="s">
        <v>1309</v>
      </c>
      <c r="H1265" s="295">
        <f t="shared" si="43"/>
        <v>86735.621215999985</v>
      </c>
      <c r="I1265" s="980">
        <f t="shared" si="42"/>
        <v>86753.865315999981</v>
      </c>
      <c r="J1265" s="295"/>
      <c r="K1265" s="157"/>
    </row>
    <row r="1266" spans="2:11" x14ac:dyDescent="0.2">
      <c r="E1266" s="129" t="s">
        <v>1310</v>
      </c>
      <c r="H1266" s="295">
        <f t="shared" si="43"/>
        <v>87155.865315999981</v>
      </c>
      <c r="I1266" s="980">
        <f t="shared" si="42"/>
        <v>87174.109415999978</v>
      </c>
      <c r="J1266" s="295"/>
      <c r="K1266" s="157"/>
    </row>
    <row r="1267" spans="2:11" x14ac:dyDescent="0.2">
      <c r="E1267" s="129" t="s">
        <v>461</v>
      </c>
      <c r="H1267" s="295">
        <f t="shared" si="43"/>
        <v>87576.109415999978</v>
      </c>
      <c r="I1267" s="980">
        <f t="shared" si="42"/>
        <v>87594.353515999974</v>
      </c>
      <c r="J1267" s="295"/>
      <c r="K1267" s="157"/>
    </row>
    <row r="1268" spans="2:11" x14ac:dyDescent="0.2">
      <c r="E1268" s="129" t="s">
        <v>1311</v>
      </c>
      <c r="H1268" s="295">
        <f t="shared" si="43"/>
        <v>87996.353515999974</v>
      </c>
      <c r="I1268" s="980">
        <f t="shared" si="42"/>
        <v>88014.59761599997</v>
      </c>
      <c r="J1268" s="295"/>
      <c r="K1268" s="157"/>
    </row>
    <row r="1269" spans="2:11" x14ac:dyDescent="0.2">
      <c r="E1269" s="129" t="s">
        <v>469</v>
      </c>
      <c r="H1269" s="295">
        <f t="shared" si="43"/>
        <v>88416.59761599997</v>
      </c>
      <c r="I1269" s="980">
        <f t="shared" si="42"/>
        <v>88434.841715999966</v>
      </c>
      <c r="J1269" s="295"/>
      <c r="K1269" s="157"/>
    </row>
    <row r="1270" spans="2:11" x14ac:dyDescent="0.2">
      <c r="E1270" s="129" t="s">
        <v>475</v>
      </c>
      <c r="H1270" s="295">
        <f t="shared" si="43"/>
        <v>88836.841715999966</v>
      </c>
      <c r="I1270" s="980">
        <f t="shared" si="42"/>
        <v>88855.085815999963</v>
      </c>
      <c r="J1270" s="295"/>
      <c r="K1270" s="157"/>
    </row>
    <row r="1271" spans="2:11" x14ac:dyDescent="0.2">
      <c r="H1271" s="295"/>
      <c r="I1271" s="980"/>
      <c r="J1271" s="295"/>
      <c r="K1271" s="157"/>
    </row>
    <row r="1272" spans="2:11" x14ac:dyDescent="0.2">
      <c r="D1272" s="1117"/>
      <c r="E1272" s="424" t="s">
        <v>1312</v>
      </c>
      <c r="F1272" s="909">
        <f>Staircase!I3</f>
        <v>30</v>
      </c>
      <c r="G1272" s="129" t="s">
        <v>1313</v>
      </c>
      <c r="H1272" s="295"/>
    </row>
    <row r="1273" spans="2:11" ht="45.6" customHeight="1" x14ac:dyDescent="0.2">
      <c r="C1273" s="2054" t="s">
        <v>2129</v>
      </c>
      <c r="D1273" s="2054"/>
      <c r="E1273" s="2054"/>
      <c r="F1273" s="2054"/>
      <c r="G1273" s="2054"/>
      <c r="H1273" s="2054"/>
      <c r="I1273" s="2054"/>
    </row>
    <row r="1274" spans="2:11" x14ac:dyDescent="0.2">
      <c r="C1274" s="130"/>
      <c r="F1274" s="1118" t="s">
        <v>1314</v>
      </c>
      <c r="G1274" s="1119">
        <f>Staircase!D24</f>
        <v>0.4</v>
      </c>
      <c r="H1274" s="1119" t="s">
        <v>1315</v>
      </c>
      <c r="I1274" s="295"/>
    </row>
    <row r="1275" spans="2:11" x14ac:dyDescent="0.2">
      <c r="C1275" s="526">
        <v>1</v>
      </c>
      <c r="D1275" s="129" t="s">
        <v>1012</v>
      </c>
      <c r="E1275" s="536" t="s">
        <v>1301</v>
      </c>
      <c r="H1275" s="295"/>
      <c r="I1275" s="970">
        <f>$I$402</f>
        <v>8709.2999999999993</v>
      </c>
    </row>
    <row r="1276" spans="2:11" x14ac:dyDescent="0.2">
      <c r="C1276" s="295">
        <f>+(PI()*(G1274))/(PI()*(G1274^2)*0.25)</f>
        <v>10</v>
      </c>
      <c r="D1276" s="536" t="s">
        <v>1087</v>
      </c>
      <c r="E1276" s="130" t="s">
        <v>1291</v>
      </c>
      <c r="F1276" s="970">
        <f>SSR!$E$12</f>
        <v>1206</v>
      </c>
      <c r="H1276" s="1093"/>
      <c r="I1276" s="295">
        <f>+F1276*C1276</f>
        <v>12060</v>
      </c>
    </row>
    <row r="1277" spans="2:11" x14ac:dyDescent="0.2">
      <c r="B1277" s="1120"/>
      <c r="E1277" s="129" t="s">
        <v>1290</v>
      </c>
      <c r="F1277" s="1103">
        <f>RAM!$L$130/100</f>
        <v>0.3</v>
      </c>
      <c r="H1277" s="295"/>
      <c r="I1277" s="295">
        <f>I1276*F1277</f>
        <v>3618</v>
      </c>
    </row>
    <row r="1278" spans="2:11" x14ac:dyDescent="0.2">
      <c r="B1278" s="1120"/>
      <c r="E1278" s="129" t="str">
        <f>+IF($I$4=0%,"---","Municipal allowance")</f>
        <v>Municipal allowance</v>
      </c>
      <c r="F1278" s="928">
        <f>$I$4</f>
        <v>0.2</v>
      </c>
      <c r="H1278" s="295"/>
      <c r="I1278" s="295">
        <f>(I1276+I1277)*F1278*0.25</f>
        <v>783.90000000000009</v>
      </c>
    </row>
    <row r="1279" spans="2:11" x14ac:dyDescent="0.2">
      <c r="C1279" s="937"/>
      <c r="D1279" s="536"/>
      <c r="E1279" s="139" t="str">
        <f>E1104</f>
        <v>Overheads &amp; cp</v>
      </c>
      <c r="F1279" s="1107"/>
      <c r="G1279" s="1940">
        <f>+$I$5</f>
        <v>0.13614999999999999</v>
      </c>
      <c r="H1279" s="1093"/>
      <c r="I1279" s="295">
        <f>(I1276+I1277+I1278)*G1279</f>
        <v>2241.2876850000002</v>
      </c>
    </row>
    <row r="1280" spans="2:11" x14ac:dyDescent="0.2">
      <c r="C1280" s="937"/>
      <c r="D1280" s="536"/>
      <c r="E1280" s="139"/>
      <c r="H1280" s="1093"/>
      <c r="I1280" s="295"/>
    </row>
    <row r="1281" spans="5:9" x14ac:dyDescent="0.2">
      <c r="E1281" s="129" t="s">
        <v>420</v>
      </c>
      <c r="H1281" s="1097" t="s">
        <v>23</v>
      </c>
      <c r="I1281" s="1098">
        <f>SUM(I1275:I1280)</f>
        <v>27412.487685</v>
      </c>
    </row>
    <row r="1282" spans="5:9" x14ac:dyDescent="0.2">
      <c r="E1282" s="129" t="s">
        <v>422</v>
      </c>
      <c r="F1282" s="552" t="s">
        <v>1305</v>
      </c>
      <c r="G1282" s="417">
        <f>SSR!$E$7</f>
        <v>134</v>
      </c>
      <c r="H1282" s="295">
        <f>+I1281+$G$1282</f>
        <v>27546.487685</v>
      </c>
      <c r="I1282" s="980">
        <f t="shared" ref="I1282:I1311" si="44">+H1282+$G$1282*$I$5</f>
        <v>27564.731785</v>
      </c>
    </row>
    <row r="1283" spans="5:9" x14ac:dyDescent="0.2">
      <c r="E1283" s="129" t="s">
        <v>423</v>
      </c>
      <c r="H1283" s="295">
        <f t="shared" ref="H1283:H1311" si="45">+I1282+$G$1282</f>
        <v>27698.731785</v>
      </c>
      <c r="I1283" s="980">
        <f t="shared" si="44"/>
        <v>27716.975885</v>
      </c>
    </row>
    <row r="1284" spans="5:9" x14ac:dyDescent="0.2">
      <c r="E1284" s="129" t="s">
        <v>424</v>
      </c>
      <c r="H1284" s="295">
        <f t="shared" si="45"/>
        <v>27850.975885</v>
      </c>
      <c r="I1284" s="980">
        <f t="shared" si="44"/>
        <v>27869.219985</v>
      </c>
    </row>
    <row r="1285" spans="5:9" x14ac:dyDescent="0.2">
      <c r="E1285" s="129" t="s">
        <v>425</v>
      </c>
      <c r="H1285" s="295">
        <f t="shared" si="45"/>
        <v>28003.219985</v>
      </c>
      <c r="I1285" s="980">
        <f t="shared" si="44"/>
        <v>28021.464085</v>
      </c>
    </row>
    <row r="1286" spans="5:9" x14ac:dyDescent="0.2">
      <c r="E1286" s="129" t="s">
        <v>426</v>
      </c>
      <c r="H1286" s="295">
        <f t="shared" si="45"/>
        <v>28155.464085</v>
      </c>
      <c r="I1286" s="980">
        <f t="shared" si="44"/>
        <v>28173.708185</v>
      </c>
    </row>
    <row r="1287" spans="5:9" x14ac:dyDescent="0.2">
      <c r="E1287" s="129" t="s">
        <v>427</v>
      </c>
      <c r="H1287" s="295">
        <f t="shared" si="45"/>
        <v>28307.708185</v>
      </c>
      <c r="I1287" s="980">
        <f t="shared" si="44"/>
        <v>28325.952284999999</v>
      </c>
    </row>
    <row r="1288" spans="5:9" x14ac:dyDescent="0.2">
      <c r="E1288" s="129" t="s">
        <v>428</v>
      </c>
      <c r="H1288" s="295">
        <f t="shared" si="45"/>
        <v>28459.952284999999</v>
      </c>
      <c r="I1288" s="980">
        <f t="shared" si="44"/>
        <v>28478.196384999999</v>
      </c>
    </row>
    <row r="1289" spans="5:9" x14ac:dyDescent="0.2">
      <c r="E1289" s="129" t="s">
        <v>429</v>
      </c>
      <c r="H1289" s="295">
        <f t="shared" si="45"/>
        <v>28612.196384999999</v>
      </c>
      <c r="I1289" s="980">
        <f t="shared" si="44"/>
        <v>28630.440484999999</v>
      </c>
    </row>
    <row r="1290" spans="5:9" x14ac:dyDescent="0.2">
      <c r="E1290" s="129" t="s">
        <v>430</v>
      </c>
      <c r="H1290" s="295">
        <f t="shared" si="45"/>
        <v>28764.440484999999</v>
      </c>
      <c r="I1290" s="980">
        <f t="shared" si="44"/>
        <v>28782.684584999999</v>
      </c>
    </row>
    <row r="1291" spans="5:9" x14ac:dyDescent="0.2">
      <c r="E1291" s="129" t="s">
        <v>431</v>
      </c>
      <c r="H1291" s="295">
        <f t="shared" si="45"/>
        <v>28916.684584999999</v>
      </c>
      <c r="I1291" s="980">
        <f t="shared" si="44"/>
        <v>28934.928684999999</v>
      </c>
    </row>
    <row r="1292" spans="5:9" x14ac:dyDescent="0.2">
      <c r="E1292" s="129" t="s">
        <v>432</v>
      </c>
      <c r="H1292" s="295">
        <f t="shared" si="45"/>
        <v>29068.928684999999</v>
      </c>
      <c r="I1292" s="980">
        <f t="shared" si="44"/>
        <v>29087.172784999999</v>
      </c>
    </row>
    <row r="1293" spans="5:9" x14ac:dyDescent="0.2">
      <c r="E1293" s="129" t="s">
        <v>433</v>
      </c>
      <c r="H1293" s="295">
        <f t="shared" si="45"/>
        <v>29221.172784999999</v>
      </c>
      <c r="I1293" s="980">
        <f t="shared" si="44"/>
        <v>29239.416884999999</v>
      </c>
    </row>
    <row r="1294" spans="5:9" x14ac:dyDescent="0.2">
      <c r="E1294" s="129" t="s">
        <v>434</v>
      </c>
      <c r="H1294" s="295">
        <f t="shared" si="45"/>
        <v>29373.416884999999</v>
      </c>
      <c r="I1294" s="980">
        <f t="shared" si="44"/>
        <v>29391.660984999999</v>
      </c>
    </row>
    <row r="1295" spans="5:9" x14ac:dyDescent="0.2">
      <c r="E1295" s="129" t="s">
        <v>435</v>
      </c>
      <c r="H1295" s="295">
        <f t="shared" si="45"/>
        <v>29525.660984999999</v>
      </c>
      <c r="I1295" s="980">
        <f t="shared" si="44"/>
        <v>29543.905084999999</v>
      </c>
    </row>
    <row r="1296" spans="5:9" x14ac:dyDescent="0.2">
      <c r="E1296" s="129" t="s">
        <v>436</v>
      </c>
      <c r="H1296" s="295">
        <f t="shared" si="45"/>
        <v>29677.905084999999</v>
      </c>
      <c r="I1296" s="980">
        <f t="shared" si="44"/>
        <v>29696.149184999998</v>
      </c>
    </row>
    <row r="1297" spans="5:9" x14ac:dyDescent="0.2">
      <c r="E1297" s="129" t="s">
        <v>437</v>
      </c>
      <c r="H1297" s="295">
        <f t="shared" si="45"/>
        <v>29830.149184999998</v>
      </c>
      <c r="I1297" s="980">
        <f t="shared" si="44"/>
        <v>29848.393284999998</v>
      </c>
    </row>
    <row r="1298" spans="5:9" x14ac:dyDescent="0.2">
      <c r="E1298" s="129" t="s">
        <v>438</v>
      </c>
      <c r="H1298" s="295">
        <f t="shared" si="45"/>
        <v>29982.393284999998</v>
      </c>
      <c r="I1298" s="980">
        <f t="shared" si="44"/>
        <v>30000.637384999998</v>
      </c>
    </row>
    <row r="1299" spans="5:9" x14ac:dyDescent="0.2">
      <c r="E1299" s="129" t="s">
        <v>439</v>
      </c>
      <c r="H1299" s="295">
        <f t="shared" si="45"/>
        <v>30134.637384999998</v>
      </c>
      <c r="I1299" s="980">
        <f t="shared" si="44"/>
        <v>30152.881484999998</v>
      </c>
    </row>
    <row r="1300" spans="5:9" x14ac:dyDescent="0.2">
      <c r="E1300" s="129" t="s">
        <v>440</v>
      </c>
      <c r="H1300" s="295">
        <f t="shared" si="45"/>
        <v>30286.881484999998</v>
      </c>
      <c r="I1300" s="980">
        <f t="shared" si="44"/>
        <v>30305.125584999998</v>
      </c>
    </row>
    <row r="1301" spans="5:9" x14ac:dyDescent="0.2">
      <c r="E1301" s="129" t="s">
        <v>441</v>
      </c>
      <c r="H1301" s="295">
        <f t="shared" si="45"/>
        <v>30439.125584999998</v>
      </c>
      <c r="I1301" s="980">
        <f t="shared" si="44"/>
        <v>30457.369684999998</v>
      </c>
    </row>
    <row r="1302" spans="5:9" x14ac:dyDescent="0.2">
      <c r="E1302" s="129" t="s">
        <v>442</v>
      </c>
      <c r="H1302" s="295">
        <f t="shared" si="45"/>
        <v>30591.369684999998</v>
      </c>
      <c r="I1302" s="980">
        <f t="shared" si="44"/>
        <v>30609.613784999998</v>
      </c>
    </row>
    <row r="1303" spans="5:9" x14ac:dyDescent="0.2">
      <c r="E1303" s="129" t="s">
        <v>443</v>
      </c>
      <c r="H1303" s="295">
        <f t="shared" si="45"/>
        <v>30743.613784999998</v>
      </c>
      <c r="I1303" s="980">
        <f t="shared" si="44"/>
        <v>30761.857884999998</v>
      </c>
    </row>
    <row r="1304" spans="5:9" x14ac:dyDescent="0.2">
      <c r="E1304" s="129" t="s">
        <v>444</v>
      </c>
      <c r="H1304" s="295">
        <f t="shared" si="45"/>
        <v>30895.857884999998</v>
      </c>
      <c r="I1304" s="980">
        <f t="shared" si="44"/>
        <v>30914.101984999998</v>
      </c>
    </row>
    <row r="1305" spans="5:9" x14ac:dyDescent="0.2">
      <c r="E1305" s="129" t="s">
        <v>445</v>
      </c>
      <c r="H1305" s="295">
        <f t="shared" si="45"/>
        <v>31048.101984999998</v>
      </c>
      <c r="I1305" s="980">
        <f t="shared" si="44"/>
        <v>31066.346084999997</v>
      </c>
    </row>
    <row r="1306" spans="5:9" x14ac:dyDescent="0.2">
      <c r="E1306" s="129" t="s">
        <v>446</v>
      </c>
      <c r="H1306" s="295">
        <f t="shared" si="45"/>
        <v>31200.346084999997</v>
      </c>
      <c r="I1306" s="980">
        <f t="shared" si="44"/>
        <v>31218.590184999997</v>
      </c>
    </row>
    <row r="1307" spans="5:9" x14ac:dyDescent="0.2">
      <c r="E1307" s="129" t="s">
        <v>447</v>
      </c>
      <c r="H1307" s="295">
        <f t="shared" si="45"/>
        <v>31352.590184999997</v>
      </c>
      <c r="I1307" s="980">
        <f t="shared" si="44"/>
        <v>31370.834284999997</v>
      </c>
    </row>
    <row r="1308" spans="5:9" x14ac:dyDescent="0.2">
      <c r="E1308" s="129" t="s">
        <v>448</v>
      </c>
      <c r="H1308" s="295">
        <f t="shared" si="45"/>
        <v>31504.834284999997</v>
      </c>
      <c r="I1308" s="980">
        <f t="shared" si="44"/>
        <v>31523.078384999997</v>
      </c>
    </row>
    <row r="1309" spans="5:9" x14ac:dyDescent="0.2">
      <c r="E1309" s="129" t="s">
        <v>449</v>
      </c>
      <c r="H1309" s="295">
        <f t="shared" si="45"/>
        <v>31657.078384999997</v>
      </c>
      <c r="I1309" s="980">
        <f t="shared" si="44"/>
        <v>31675.322484999997</v>
      </c>
    </row>
    <row r="1310" spans="5:9" x14ac:dyDescent="0.2">
      <c r="E1310" s="129" t="s">
        <v>450</v>
      </c>
      <c r="H1310" s="295">
        <f t="shared" si="45"/>
        <v>31809.322484999997</v>
      </c>
      <c r="I1310" s="980">
        <f t="shared" si="44"/>
        <v>31827.566584999997</v>
      </c>
    </row>
    <row r="1311" spans="5:9" x14ac:dyDescent="0.2">
      <c r="E1311" s="129" t="s">
        <v>451</v>
      </c>
      <c r="H1311" s="295">
        <f t="shared" si="45"/>
        <v>31961.566584999997</v>
      </c>
      <c r="I1311" s="980">
        <f t="shared" si="44"/>
        <v>31979.810684999997</v>
      </c>
    </row>
    <row r="1312" spans="5:9" x14ac:dyDescent="0.2">
      <c r="H1312" s="295"/>
      <c r="I1312" s="980"/>
    </row>
    <row r="1313" spans="2:11" ht="28.5" customHeight="1" x14ac:dyDescent="0.2">
      <c r="C1313" s="2054" t="s">
        <v>2130</v>
      </c>
      <c r="D1313" s="2054"/>
      <c r="E1313" s="2054"/>
      <c r="F1313" s="2054"/>
      <c r="G1313" s="2054"/>
      <c r="H1313" s="2054"/>
      <c r="I1313" s="2054"/>
      <c r="J1313" s="295"/>
      <c r="K1313" s="295"/>
    </row>
    <row r="1314" spans="2:11" x14ac:dyDescent="0.2">
      <c r="F1314" s="452">
        <f>Staircase!F83</f>
        <v>0.05</v>
      </c>
      <c r="J1314" s="295"/>
    </row>
    <row r="1315" spans="2:11" x14ac:dyDescent="0.2">
      <c r="C1315" s="526">
        <v>1</v>
      </c>
      <c r="D1315" s="129" t="s">
        <v>1012</v>
      </c>
      <c r="E1315" s="129" t="s">
        <v>1283</v>
      </c>
      <c r="I1315" s="970">
        <f>$I$414</f>
        <v>6885.5</v>
      </c>
      <c r="J1315" s="295"/>
    </row>
    <row r="1316" spans="2:11" x14ac:dyDescent="0.2">
      <c r="C1316" s="1084">
        <f>1/F1314</f>
        <v>20</v>
      </c>
      <c r="D1316" s="536" t="s">
        <v>1316</v>
      </c>
      <c r="E1316" s="130" t="s">
        <v>1291</v>
      </c>
      <c r="F1316" s="960">
        <f>SSR!$E$31</f>
        <v>480</v>
      </c>
      <c r="H1316" s="295"/>
      <c r="I1316" s="295">
        <f>+F1316*C1316</f>
        <v>9600</v>
      </c>
      <c r="J1316" s="1093"/>
    </row>
    <row r="1317" spans="2:11" x14ac:dyDescent="0.2">
      <c r="E1317" s="129" t="s">
        <v>1290</v>
      </c>
      <c r="F1317" s="1103">
        <f>RAM!$L$130/100</f>
        <v>0.3</v>
      </c>
      <c r="I1317" s="295">
        <f>I1316*F1317</f>
        <v>2880</v>
      </c>
      <c r="J1317" s="295"/>
    </row>
    <row r="1318" spans="2:11" x14ac:dyDescent="0.2">
      <c r="B1318" s="1120"/>
      <c r="E1318" s="129" t="str">
        <f>+IF($I$4=0%,"---","Municipal allowance")</f>
        <v>Municipal allowance</v>
      </c>
      <c r="F1318" s="928">
        <f>$I$4</f>
        <v>0.2</v>
      </c>
      <c r="I1318" s="295">
        <f>(I1316+I1317)*0.25*F1318</f>
        <v>624</v>
      </c>
      <c r="J1318" s="295"/>
    </row>
    <row r="1319" spans="2:11" x14ac:dyDescent="0.2">
      <c r="C1319" s="937"/>
      <c r="D1319" s="536"/>
      <c r="E1319" s="139" t="str">
        <f>E1279</f>
        <v>Overheads &amp; cp</v>
      </c>
      <c r="F1319" s="1107"/>
      <c r="G1319" s="1940">
        <f>+$I$5</f>
        <v>0.13614999999999999</v>
      </c>
      <c r="H1319" s="295"/>
      <c r="I1319" s="295">
        <f>(I1316+I1318+I1317)*G1319</f>
        <v>1784.1096</v>
      </c>
      <c r="J1319" s="1093"/>
    </row>
    <row r="1320" spans="2:11" x14ac:dyDescent="0.2">
      <c r="C1320" s="937"/>
      <c r="D1320" s="536"/>
      <c r="E1320" s="139"/>
      <c r="H1320" s="295"/>
      <c r="I1320" s="295"/>
      <c r="J1320" s="1093"/>
    </row>
    <row r="1321" spans="2:11" x14ac:dyDescent="0.2">
      <c r="E1321" s="129" t="s">
        <v>1295</v>
      </c>
      <c r="F1321" s="129" t="s">
        <v>1317</v>
      </c>
      <c r="H1321" s="1097" t="s">
        <v>23</v>
      </c>
      <c r="I1321" s="1098">
        <f>SUM(I1315:I1320)</f>
        <v>21773.6096</v>
      </c>
    </row>
    <row r="1322" spans="2:11" x14ac:dyDescent="0.2">
      <c r="E1322" s="129" t="s">
        <v>1296</v>
      </c>
      <c r="F1322" s="552" t="s">
        <v>1305</v>
      </c>
      <c r="G1322" s="417">
        <f>SSR!$E$7*3</f>
        <v>402</v>
      </c>
      <c r="H1322" s="295">
        <f>+I1321+$G$1322</f>
        <v>22175.6096</v>
      </c>
      <c r="I1322" s="980">
        <f t="shared" ref="I1322:I1331" si="46">+H1322+$G$1322*$I$5</f>
        <v>22230.341899999999</v>
      </c>
      <c r="J1322" s="295"/>
    </row>
    <row r="1323" spans="2:11" x14ac:dyDescent="0.2">
      <c r="E1323" s="129" t="s">
        <v>1297</v>
      </c>
      <c r="H1323" s="295">
        <f>+I1322+$G$1322</f>
        <v>22632.341899999999</v>
      </c>
      <c r="I1323" s="980">
        <f t="shared" si="46"/>
        <v>22687.074199999999</v>
      </c>
      <c r="J1323" s="295"/>
    </row>
    <row r="1324" spans="2:11" x14ac:dyDescent="0.2">
      <c r="E1324" s="129" t="s">
        <v>1308</v>
      </c>
      <c r="H1324" s="295">
        <f t="shared" ref="H1324:H1329" si="47">+I1323+$G$1322</f>
        <v>23089.074199999999</v>
      </c>
      <c r="I1324" s="980">
        <f t="shared" si="46"/>
        <v>23143.806499999999</v>
      </c>
      <c r="J1324" s="295"/>
    </row>
    <row r="1325" spans="2:11" x14ac:dyDescent="0.2">
      <c r="E1325" s="129" t="s">
        <v>1309</v>
      </c>
      <c r="H1325" s="295">
        <f t="shared" si="47"/>
        <v>23545.806499999999</v>
      </c>
      <c r="I1325" s="980">
        <f t="shared" si="46"/>
        <v>23600.538799999998</v>
      </c>
      <c r="J1325" s="295"/>
    </row>
    <row r="1326" spans="2:11" x14ac:dyDescent="0.2">
      <c r="E1326" s="129" t="s">
        <v>1310</v>
      </c>
      <c r="H1326" s="295">
        <f t="shared" si="47"/>
        <v>24002.538799999998</v>
      </c>
      <c r="I1326" s="980">
        <f t="shared" si="46"/>
        <v>24057.271099999998</v>
      </c>
      <c r="J1326" s="295"/>
    </row>
    <row r="1327" spans="2:11" x14ac:dyDescent="0.2">
      <c r="E1327" s="129" t="s">
        <v>461</v>
      </c>
      <c r="H1327" s="295">
        <f t="shared" si="47"/>
        <v>24459.271099999998</v>
      </c>
      <c r="I1327" s="980">
        <f t="shared" si="46"/>
        <v>24514.003399999998</v>
      </c>
      <c r="J1327" s="295"/>
    </row>
    <row r="1328" spans="2:11" x14ac:dyDescent="0.2">
      <c r="E1328" s="129" t="s">
        <v>1311</v>
      </c>
      <c r="H1328" s="295">
        <f t="shared" si="47"/>
        <v>24916.003399999998</v>
      </c>
      <c r="I1328" s="980">
        <f t="shared" si="46"/>
        <v>24970.735699999997</v>
      </c>
      <c r="J1328" s="295"/>
    </row>
    <row r="1329" spans="3:11" x14ac:dyDescent="0.2">
      <c r="E1329" s="129" t="s">
        <v>469</v>
      </c>
      <c r="H1329" s="295">
        <f t="shared" si="47"/>
        <v>25372.735699999997</v>
      </c>
      <c r="I1329" s="980">
        <f t="shared" si="46"/>
        <v>25427.467999999997</v>
      </c>
      <c r="J1329" s="295"/>
    </row>
    <row r="1330" spans="3:11" x14ac:dyDescent="0.2">
      <c r="E1330" s="129" t="s">
        <v>475</v>
      </c>
      <c r="H1330" s="295">
        <f>+I1329+$G$1322</f>
        <v>25829.467999999997</v>
      </c>
      <c r="I1330" s="980">
        <f t="shared" si="46"/>
        <v>25884.200299999997</v>
      </c>
      <c r="J1330" s="295"/>
    </row>
    <row r="1331" spans="3:11" x14ac:dyDescent="0.2">
      <c r="E1331" s="129" t="s">
        <v>476</v>
      </c>
      <c r="H1331" s="295">
        <f>+I1330+$G$1322</f>
        <v>26286.200299999997</v>
      </c>
      <c r="I1331" s="980">
        <f t="shared" si="46"/>
        <v>26340.932599999996</v>
      </c>
      <c r="J1331" s="295"/>
    </row>
    <row r="1332" spans="3:11" x14ac:dyDescent="0.2">
      <c r="J1332" s="1097"/>
      <c r="K1332" s="984"/>
    </row>
    <row r="1333" spans="3:11" ht="41.25" customHeight="1" x14ac:dyDescent="0.2">
      <c r="C1333" s="2054" t="s">
        <v>2131</v>
      </c>
      <c r="D1333" s="2054"/>
      <c r="E1333" s="2054"/>
      <c r="F1333" s="2054"/>
      <c r="G1333" s="2054"/>
      <c r="H1333" s="2054"/>
      <c r="I1333" s="2054"/>
      <c r="J1333" s="295"/>
      <c r="K1333" s="295"/>
    </row>
    <row r="1334" spans="3:11" x14ac:dyDescent="0.2">
      <c r="F1334" s="452">
        <f>Staircase!E108</f>
        <v>0.05</v>
      </c>
    </row>
    <row r="1335" spans="3:11" x14ac:dyDescent="0.2">
      <c r="C1335" s="129">
        <v>1</v>
      </c>
      <c r="D1335" s="129" t="s">
        <v>20</v>
      </c>
      <c r="E1335" s="129" t="s">
        <v>1301</v>
      </c>
      <c r="F1335" s="940"/>
      <c r="H1335" s="295"/>
      <c r="I1335" s="970">
        <f>I1315</f>
        <v>6885.5</v>
      </c>
    </row>
    <row r="1336" spans="3:11" x14ac:dyDescent="0.2">
      <c r="C1336" s="1084">
        <f>1/F1334*1</f>
        <v>20</v>
      </c>
      <c r="D1336" s="536" t="s">
        <v>1316</v>
      </c>
      <c r="E1336" s="130" t="s">
        <v>1291</v>
      </c>
      <c r="G1336" s="960">
        <f>SSR!$E$31</f>
        <v>480</v>
      </c>
      <c r="H1336" s="1093" t="s">
        <v>1292</v>
      </c>
      <c r="I1336" s="295">
        <f>+G1336*C1336</f>
        <v>9600</v>
      </c>
    </row>
    <row r="1337" spans="3:11" x14ac:dyDescent="0.2">
      <c r="E1337" s="129" t="s">
        <v>1290</v>
      </c>
      <c r="G1337" s="1103">
        <f>RAM!$L$130/100</f>
        <v>0.3</v>
      </c>
      <c r="H1337" s="295"/>
      <c r="I1337" s="295">
        <f>I1336*G1337</f>
        <v>2880</v>
      </c>
    </row>
    <row r="1338" spans="3:11" x14ac:dyDescent="0.2">
      <c r="E1338" s="129" t="str">
        <f>+IF($I$4=0%,"---","Municipal allowance")</f>
        <v>Municipal allowance</v>
      </c>
      <c r="F1338" s="295">
        <f>+$I$4</f>
        <v>0.2</v>
      </c>
      <c r="G1338" s="1121"/>
      <c r="H1338" s="295"/>
      <c r="I1338" s="295">
        <f>(I1336+I1337)*0.25*F1338</f>
        <v>624</v>
      </c>
    </row>
    <row r="1339" spans="3:11" x14ac:dyDescent="0.2">
      <c r="C1339" s="937"/>
      <c r="D1339" s="536"/>
      <c r="E1339" s="139" t="str">
        <f>E1319</f>
        <v>Overheads &amp; cp</v>
      </c>
      <c r="F1339" s="1940">
        <f>+$I$5</f>
        <v>0.13614999999999999</v>
      </c>
      <c r="G1339" s="1107"/>
      <c r="H1339" s="1093"/>
      <c r="I1339" s="295">
        <f>(I1336+I1338+I1337)*F1339</f>
        <v>1784.1096</v>
      </c>
    </row>
    <row r="1340" spans="3:11" x14ac:dyDescent="0.2">
      <c r="C1340" s="937"/>
      <c r="D1340" s="536"/>
      <c r="E1340" s="139"/>
      <c r="G1340" s="1122"/>
      <c r="H1340" s="1093"/>
      <c r="I1340" s="295"/>
    </row>
    <row r="1341" spans="3:11" x14ac:dyDescent="0.2">
      <c r="E1341" s="129" t="s">
        <v>1295</v>
      </c>
      <c r="H1341" s="1097" t="s">
        <v>23</v>
      </c>
      <c r="I1341" s="1098">
        <f>SUM(I1335:I1340)</f>
        <v>21773.6096</v>
      </c>
    </row>
    <row r="1342" spans="3:11" x14ac:dyDescent="0.2">
      <c r="E1342" s="129" t="s">
        <v>1296</v>
      </c>
      <c r="F1342" s="552" t="s">
        <v>1305</v>
      </c>
      <c r="G1342" s="417">
        <f>SSR!$E$7*3</f>
        <v>402</v>
      </c>
      <c r="H1342" s="295">
        <f>+I1341+$G$1342</f>
        <v>22175.6096</v>
      </c>
      <c r="I1342" s="980">
        <f>+H1342+H1342*$I$5</f>
        <v>25194.818847039998</v>
      </c>
      <c r="J1342" s="295"/>
    </row>
    <row r="1343" spans="3:11" x14ac:dyDescent="0.2">
      <c r="E1343" s="129" t="s">
        <v>1297</v>
      </c>
      <c r="H1343" s="295">
        <f>+H1342+$G$1322</f>
        <v>22577.6096</v>
      </c>
      <c r="I1343" s="980">
        <f>+H1343+H1343*$I$5</f>
        <v>25651.551147040002</v>
      </c>
      <c r="J1343" s="295"/>
    </row>
    <row r="1344" spans="3:11" x14ac:dyDescent="0.2">
      <c r="E1344" s="129" t="s">
        <v>1308</v>
      </c>
      <c r="H1344" s="295">
        <f t="shared" ref="H1344:H1349" si="48">+H1343+$G$1322</f>
        <v>22979.6096</v>
      </c>
      <c r="I1344" s="980">
        <f t="shared" ref="I1344:I1351" si="49">+H1344+H1344*$I$5</f>
        <v>26108.283447039998</v>
      </c>
      <c r="J1344" s="295"/>
    </row>
    <row r="1345" spans="2:11" x14ac:dyDescent="0.2">
      <c r="E1345" s="129" t="s">
        <v>1309</v>
      </c>
      <c r="H1345" s="295">
        <f t="shared" si="48"/>
        <v>23381.6096</v>
      </c>
      <c r="I1345" s="980">
        <f t="shared" si="49"/>
        <v>26565.015747040001</v>
      </c>
      <c r="J1345" s="295"/>
    </row>
    <row r="1346" spans="2:11" x14ac:dyDescent="0.2">
      <c r="E1346" s="129" t="s">
        <v>1310</v>
      </c>
      <c r="H1346" s="295">
        <f t="shared" si="48"/>
        <v>23783.6096</v>
      </c>
      <c r="I1346" s="980">
        <f t="shared" si="49"/>
        <v>27021.748047040001</v>
      </c>
      <c r="J1346" s="295"/>
    </row>
    <row r="1347" spans="2:11" x14ac:dyDescent="0.2">
      <c r="E1347" s="129" t="s">
        <v>461</v>
      </c>
      <c r="H1347" s="295">
        <f t="shared" si="48"/>
        <v>24185.6096</v>
      </c>
      <c r="I1347" s="980">
        <f t="shared" si="49"/>
        <v>27478.48034704</v>
      </c>
      <c r="J1347" s="295"/>
    </row>
    <row r="1348" spans="2:11" x14ac:dyDescent="0.2">
      <c r="E1348" s="129" t="s">
        <v>1311</v>
      </c>
      <c r="H1348" s="295">
        <f t="shared" si="48"/>
        <v>24587.6096</v>
      </c>
      <c r="I1348" s="980">
        <f t="shared" si="49"/>
        <v>27935.21264704</v>
      </c>
      <c r="J1348" s="295"/>
    </row>
    <row r="1349" spans="2:11" x14ac:dyDescent="0.2">
      <c r="E1349" s="129" t="s">
        <v>469</v>
      </c>
      <c r="H1349" s="295">
        <f t="shared" si="48"/>
        <v>24989.6096</v>
      </c>
      <c r="I1349" s="980">
        <f t="shared" si="49"/>
        <v>28391.94494704</v>
      </c>
      <c r="J1349" s="295"/>
    </row>
    <row r="1350" spans="2:11" x14ac:dyDescent="0.2">
      <c r="E1350" s="129" t="s">
        <v>475</v>
      </c>
      <c r="H1350" s="295">
        <f>+H1349+$G$1322</f>
        <v>25391.6096</v>
      </c>
      <c r="I1350" s="980">
        <f t="shared" si="49"/>
        <v>28848.677247039999</v>
      </c>
      <c r="J1350" s="295"/>
    </row>
    <row r="1351" spans="2:11" x14ac:dyDescent="0.2">
      <c r="E1351" s="129" t="s">
        <v>476</v>
      </c>
      <c r="H1351" s="295">
        <f>+H1350+$G$1322</f>
        <v>25793.6096</v>
      </c>
      <c r="I1351" s="980">
        <f t="shared" si="49"/>
        <v>29305.409547039999</v>
      </c>
      <c r="J1351" s="295"/>
    </row>
    <row r="1352" spans="2:11" x14ac:dyDescent="0.2">
      <c r="H1352" s="295"/>
      <c r="I1352" s="980"/>
      <c r="J1352" s="295"/>
    </row>
    <row r="1353" spans="2:11" ht="30" customHeight="1" x14ac:dyDescent="0.2">
      <c r="C1353" s="2054" t="s">
        <v>2132</v>
      </c>
      <c r="D1353" s="2054"/>
      <c r="E1353" s="2054"/>
      <c r="F1353" s="2054"/>
      <c r="G1353" s="2054"/>
      <c r="H1353" s="2054"/>
      <c r="I1353" s="2054"/>
      <c r="J1353" s="1097"/>
      <c r="K1353" s="984"/>
    </row>
    <row r="1354" spans="2:11" x14ac:dyDescent="0.2">
      <c r="C1354" s="130"/>
      <c r="D1354" s="1039"/>
      <c r="F1354" s="1123">
        <f>Staircase!E60</f>
        <v>0.3</v>
      </c>
      <c r="G1354" s="1123">
        <f>Staircase!F60</f>
        <v>0.3</v>
      </c>
      <c r="J1354" s="295"/>
      <c r="K1354" s="295"/>
    </row>
    <row r="1355" spans="2:11" x14ac:dyDescent="0.2">
      <c r="C1355" s="526">
        <v>1</v>
      </c>
      <c r="D1355" s="129" t="s">
        <v>20</v>
      </c>
      <c r="E1355" s="129" t="s">
        <v>1301</v>
      </c>
      <c r="H1355" s="295" t="s">
        <v>406</v>
      </c>
      <c r="I1355" s="970">
        <f>I1335</f>
        <v>6885.5</v>
      </c>
    </row>
    <row r="1356" spans="2:11" x14ac:dyDescent="0.2">
      <c r="C1356" s="295">
        <f>(2*F1354+G1354)/(F1354*G1354)</f>
        <v>10</v>
      </c>
      <c r="D1356" s="536" t="s">
        <v>1087</v>
      </c>
      <c r="E1356" s="130" t="s">
        <v>1294</v>
      </c>
      <c r="G1356" s="960">
        <f>SSR!E22</f>
        <v>1206</v>
      </c>
      <c r="H1356" s="1093" t="s">
        <v>1292</v>
      </c>
      <c r="I1356" s="295">
        <f>C1356*G1356</f>
        <v>12060</v>
      </c>
    </row>
    <row r="1357" spans="2:11" x14ac:dyDescent="0.2">
      <c r="E1357" s="129" t="s">
        <v>1290</v>
      </c>
      <c r="G1357" s="1103">
        <f>RAM!$L$130/100</f>
        <v>0.3</v>
      </c>
      <c r="H1357" s="295"/>
      <c r="I1357" s="295">
        <f>I1356*G1357</f>
        <v>3618</v>
      </c>
    </row>
    <row r="1358" spans="2:11" x14ac:dyDescent="0.2">
      <c r="B1358" s="1124"/>
      <c r="E1358" s="129" t="str">
        <f>+IF($I$4=0%,"---","Municipal allowance")</f>
        <v>Municipal allowance</v>
      </c>
      <c r="F1358" s="295">
        <f>+$I$4</f>
        <v>0.2</v>
      </c>
      <c r="G1358" s="1121"/>
      <c r="H1358" s="295"/>
      <c r="I1358" s="295">
        <f>(I1356+I1357)*0.25*F1358</f>
        <v>783.90000000000009</v>
      </c>
    </row>
    <row r="1359" spans="2:11" x14ac:dyDescent="0.2">
      <c r="C1359" s="937"/>
      <c r="D1359" s="536"/>
      <c r="E1359" s="139" t="str">
        <f>E1339</f>
        <v>Overheads &amp; cp</v>
      </c>
      <c r="F1359" s="1940">
        <f>+$I$5</f>
        <v>0.13614999999999999</v>
      </c>
      <c r="G1359" s="1107">
        <f>$H$7</f>
        <v>0</v>
      </c>
      <c r="H1359" s="1093"/>
      <c r="I1359" s="295">
        <f>(I1356+I1358+I1357)*F1359</f>
        <v>2241.2876850000002</v>
      </c>
    </row>
    <row r="1360" spans="2:11" x14ac:dyDescent="0.2">
      <c r="E1360" s="129" t="s">
        <v>1318</v>
      </c>
      <c r="H1360" s="295"/>
      <c r="I1360" s="1105"/>
    </row>
    <row r="1361" spans="3:12" x14ac:dyDescent="0.2">
      <c r="E1361" s="129" t="s">
        <v>1295</v>
      </c>
      <c r="F1361" s="129" t="s">
        <v>1317</v>
      </c>
      <c r="H1361" s="1097" t="s">
        <v>23</v>
      </c>
      <c r="I1361" s="1108">
        <f>((INT(SUM(I1355:I1359)*20))*0.05)+0.05</f>
        <v>25588.7</v>
      </c>
    </row>
    <row r="1362" spans="3:12" x14ac:dyDescent="0.2">
      <c r="E1362" s="129" t="s">
        <v>1296</v>
      </c>
      <c r="F1362" s="536" t="s">
        <v>1305</v>
      </c>
      <c r="G1362" s="417">
        <f>SSR!$E$7*3</f>
        <v>402</v>
      </c>
      <c r="H1362" s="295">
        <f>+I1361+$G$1362</f>
        <v>25990.7</v>
      </c>
      <c r="I1362" s="980">
        <f t="shared" ref="I1362:I1370" si="50">+H1362+$G$1362*$I$5</f>
        <v>26045.4323</v>
      </c>
      <c r="J1362" s="295"/>
    </row>
    <row r="1363" spans="3:12" x14ac:dyDescent="0.2">
      <c r="E1363" s="129" t="s">
        <v>1297</v>
      </c>
      <c r="H1363" s="295">
        <f t="shared" ref="H1363:H1368" si="51">+I1362+$G$1362</f>
        <v>26447.4323</v>
      </c>
      <c r="I1363" s="980">
        <f t="shared" si="50"/>
        <v>26502.1646</v>
      </c>
      <c r="J1363" s="295"/>
    </row>
    <row r="1364" spans="3:12" x14ac:dyDescent="0.2">
      <c r="E1364" s="130" t="s">
        <v>458</v>
      </c>
      <c r="H1364" s="295">
        <f t="shared" si="51"/>
        <v>26904.1646</v>
      </c>
      <c r="I1364" s="980">
        <f t="shared" si="50"/>
        <v>26958.8969</v>
      </c>
      <c r="J1364" s="295"/>
      <c r="L1364" s="233"/>
    </row>
    <row r="1365" spans="3:12" x14ac:dyDescent="0.2">
      <c r="E1365" s="130" t="s">
        <v>1298</v>
      </c>
      <c r="H1365" s="295">
        <f t="shared" si="51"/>
        <v>27360.8969</v>
      </c>
      <c r="I1365" s="980">
        <f t="shared" si="50"/>
        <v>27415.629199999999</v>
      </c>
      <c r="J1365" s="295"/>
    </row>
    <row r="1366" spans="3:12" x14ac:dyDescent="0.2">
      <c r="E1366" s="129" t="s">
        <v>460</v>
      </c>
      <c r="H1366" s="295">
        <f t="shared" si="51"/>
        <v>27817.629199999999</v>
      </c>
      <c r="I1366" s="980">
        <f t="shared" si="50"/>
        <v>27872.361499999999</v>
      </c>
      <c r="J1366" s="295"/>
    </row>
    <row r="1367" spans="3:12" x14ac:dyDescent="0.2">
      <c r="E1367" s="129" t="s">
        <v>1319</v>
      </c>
      <c r="H1367" s="295">
        <f t="shared" si="51"/>
        <v>28274.361499999999</v>
      </c>
      <c r="I1367" s="980">
        <f t="shared" si="50"/>
        <v>28329.093799999999</v>
      </c>
      <c r="J1367" s="295"/>
    </row>
    <row r="1368" spans="3:12" x14ac:dyDescent="0.2">
      <c r="E1368" s="129" t="s">
        <v>468</v>
      </c>
      <c r="H1368" s="295">
        <f t="shared" si="51"/>
        <v>28731.093799999999</v>
      </c>
      <c r="I1368" s="980">
        <f t="shared" si="50"/>
        <v>28785.826099999998</v>
      </c>
      <c r="J1368" s="295"/>
    </row>
    <row r="1369" spans="3:12" x14ac:dyDescent="0.2">
      <c r="E1369" s="129" t="s">
        <v>1320</v>
      </c>
      <c r="H1369" s="295">
        <f>+I1368+$G$1362</f>
        <v>29187.826099999998</v>
      </c>
      <c r="I1369" s="980">
        <f t="shared" si="50"/>
        <v>29242.558399999998</v>
      </c>
      <c r="J1369" s="295"/>
    </row>
    <row r="1370" spans="3:12" x14ac:dyDescent="0.2">
      <c r="E1370" s="129" t="s">
        <v>470</v>
      </c>
      <c r="H1370" s="295">
        <f>+I1369+$G$1362</f>
        <v>29644.558399999998</v>
      </c>
      <c r="I1370" s="980">
        <f t="shared" si="50"/>
        <v>29699.290699999998</v>
      </c>
      <c r="J1370" s="295"/>
    </row>
    <row r="1371" spans="3:12" x14ac:dyDescent="0.2">
      <c r="C1371" s="130"/>
      <c r="H1371" s="295"/>
      <c r="I1371" s="980"/>
      <c r="J1371" s="1097"/>
      <c r="K1371" s="1097"/>
    </row>
    <row r="1372" spans="3:12" ht="27.75" customHeight="1" x14ac:dyDescent="0.2">
      <c r="C1372" s="2054" t="s">
        <v>2133</v>
      </c>
      <c r="D1372" s="2054"/>
      <c r="E1372" s="2054"/>
      <c r="F1372" s="2054"/>
      <c r="G1372" s="2054"/>
      <c r="H1372" s="2054"/>
      <c r="I1372" s="2054"/>
      <c r="J1372" s="1097"/>
      <c r="K1372" s="1097"/>
    </row>
    <row r="1373" spans="3:12" x14ac:dyDescent="0.2">
      <c r="C1373" s="1110"/>
      <c r="E1373" s="129" t="s">
        <v>1283</v>
      </c>
      <c r="F1373" s="1085">
        <f>Staircase!G131</f>
        <v>0.1</v>
      </c>
      <c r="G1373" s="970">
        <f>$I$139</f>
        <v>6820.2</v>
      </c>
      <c r="H1373" s="1125">
        <v>0.125</v>
      </c>
      <c r="I1373" s="970">
        <f>G1373</f>
        <v>6820.2</v>
      </c>
    </row>
    <row r="1374" spans="3:12" x14ac:dyDescent="0.2">
      <c r="C1374" s="295">
        <f>1/F1373</f>
        <v>10</v>
      </c>
      <c r="D1374" s="295">
        <f>1/H1373</f>
        <v>8</v>
      </c>
      <c r="E1374" s="130" t="s">
        <v>1302</v>
      </c>
      <c r="F1374" s="960">
        <f>F1256</f>
        <v>6302</v>
      </c>
      <c r="G1374" s="295">
        <f>C1374*F1374</f>
        <v>63020</v>
      </c>
      <c r="I1374" s="295">
        <f>D1374*F1374</f>
        <v>50416</v>
      </c>
    </row>
    <row r="1375" spans="3:12" x14ac:dyDescent="0.2">
      <c r="C1375" s="295">
        <f>RAM!L133+2</f>
        <v>29</v>
      </c>
      <c r="E1375" s="129" t="s">
        <v>1154</v>
      </c>
      <c r="F1375" s="417">
        <f>SSR!$E$7</f>
        <v>134</v>
      </c>
      <c r="G1375" s="129">
        <f>+F1375*C1375</f>
        <v>3886</v>
      </c>
      <c r="I1375" s="129">
        <f>+C1375*F1375</f>
        <v>3886</v>
      </c>
    </row>
    <row r="1376" spans="3:12" x14ac:dyDescent="0.2">
      <c r="C1376" s="295"/>
      <c r="E1376" s="129" t="s">
        <v>1290</v>
      </c>
      <c r="F1376" s="1103">
        <f>G1357</f>
        <v>0.3</v>
      </c>
      <c r="G1376" s="295">
        <f>G1374*F1376</f>
        <v>18906</v>
      </c>
      <c r="H1376" s="1103">
        <f>F1376</f>
        <v>0.3</v>
      </c>
      <c r="I1376" s="295">
        <f>H1376*I1374</f>
        <v>15124.8</v>
      </c>
    </row>
    <row r="1377" spans="2:11" x14ac:dyDescent="0.2">
      <c r="C1377" s="295"/>
      <c r="E1377" s="129" t="str">
        <f>+IF($I$4=0%,"---","Municipal allowance")</f>
        <v>Municipal allowance</v>
      </c>
      <c r="F1377" s="928">
        <f>$I$4</f>
        <v>0.2</v>
      </c>
      <c r="G1377" s="295">
        <f>(G1374+G1376)*F1377*0.25</f>
        <v>4096.3</v>
      </c>
      <c r="I1377" s="295">
        <f>(I1374+I1376)*F1377*0.25</f>
        <v>3277.0400000000004</v>
      </c>
    </row>
    <row r="1378" spans="2:11" x14ac:dyDescent="0.2">
      <c r="C1378" s="937"/>
      <c r="D1378" s="536"/>
      <c r="E1378" s="129" t="s">
        <v>2102</v>
      </c>
      <c r="F1378" s="1940">
        <f>+$I$5</f>
        <v>0.13614999999999999</v>
      </c>
      <c r="G1378" s="295">
        <f>SUM(G1374+G1377+G1376+G1375)*F1378</f>
        <v>12241.015045</v>
      </c>
      <c r="I1378" s="295">
        <f>SUM(I1373+I1377+I1376+I1375)*F1378</f>
        <v>3963.0596459999997</v>
      </c>
    </row>
    <row r="1379" spans="2:11" x14ac:dyDescent="0.2">
      <c r="G1379" s="1098">
        <f>ROUND(SUM(G1373:G1378),1)</f>
        <v>108969.5</v>
      </c>
      <c r="I1379" s="1098">
        <f>ROUND(SUM(I1373:I1378),1)</f>
        <v>83487.100000000006</v>
      </c>
    </row>
    <row r="1380" spans="2:11" x14ac:dyDescent="0.2">
      <c r="G1380" s="984"/>
      <c r="I1380" s="984"/>
    </row>
    <row r="1381" spans="2:11" x14ac:dyDescent="0.2">
      <c r="E1381" s="1126" t="s">
        <v>206</v>
      </c>
    </row>
    <row r="1382" spans="2:11" ht="23.25" x14ac:dyDescent="0.2">
      <c r="B1382" s="2055" t="s">
        <v>1321</v>
      </c>
      <c r="C1382" s="1127" t="s">
        <v>1322</v>
      </c>
      <c r="D1382" s="1128" t="s">
        <v>1323</v>
      </c>
      <c r="E1382" s="1129"/>
      <c r="F1382" s="1128"/>
      <c r="G1382" s="1128"/>
      <c r="H1382" s="1128"/>
      <c r="I1382" s="1128"/>
      <c r="J1382" s="1128"/>
      <c r="K1382" s="1128"/>
    </row>
    <row r="1383" spans="2:11" x14ac:dyDescent="0.2">
      <c r="B1383" s="2056"/>
      <c r="C1383" s="1130"/>
      <c r="D1383" s="1128" t="s">
        <v>1324</v>
      </c>
      <c r="E1383" s="1129"/>
      <c r="F1383" s="1128"/>
      <c r="G1383" s="1128"/>
      <c r="H1383" s="1128"/>
      <c r="I1383" s="1128"/>
      <c r="J1383" s="1128"/>
      <c r="K1383" s="1128"/>
    </row>
    <row r="1384" spans="2:11" x14ac:dyDescent="0.2">
      <c r="B1384" s="2057"/>
      <c r="C1384" s="1130"/>
      <c r="D1384" s="1128" t="s">
        <v>1325</v>
      </c>
      <c r="E1384" s="1129"/>
      <c r="F1384" s="1128"/>
      <c r="G1384" s="1128"/>
      <c r="H1384" s="1128"/>
      <c r="I1384" s="1128"/>
      <c r="J1384" s="1128"/>
      <c r="K1384" s="1128"/>
    </row>
    <row r="1385" spans="2:11" x14ac:dyDescent="0.2">
      <c r="C1385" s="1131"/>
      <c r="D1385" s="1128" t="s">
        <v>1326</v>
      </c>
      <c r="E1385" s="1129"/>
      <c r="F1385" s="1128"/>
      <c r="G1385" s="1128"/>
      <c r="H1385" s="1128"/>
      <c r="I1385" s="1128"/>
      <c r="J1385" s="1128"/>
      <c r="K1385" s="1128"/>
    </row>
    <row r="1386" spans="2:11" x14ac:dyDescent="0.2">
      <c r="C1386" s="1131"/>
      <c r="D1386" s="1128" t="s">
        <v>1327</v>
      </c>
      <c r="E1386" s="1129"/>
      <c r="F1386" s="1128"/>
      <c r="G1386" s="1128"/>
      <c r="H1386" s="1128"/>
      <c r="I1386" s="1128"/>
      <c r="J1386" s="1128"/>
      <c r="K1386" s="1128"/>
    </row>
    <row r="1387" spans="2:11" x14ac:dyDescent="0.2">
      <c r="C1387" s="1131"/>
      <c r="D1387" s="1128"/>
      <c r="E1387" s="1129"/>
      <c r="F1387" s="1128"/>
      <c r="G1387" s="1128"/>
      <c r="H1387" s="1128"/>
      <c r="I1387" s="1128"/>
      <c r="J1387" s="1128"/>
      <c r="K1387" s="1128"/>
    </row>
    <row r="1388" spans="2:11" x14ac:dyDescent="0.2">
      <c r="C1388" s="1131" t="s">
        <v>1328</v>
      </c>
      <c r="D1388" s="1128" t="s">
        <v>1329</v>
      </c>
      <c r="E1388" s="1129"/>
      <c r="F1388" s="1128"/>
      <c r="G1388" s="1132" t="s">
        <v>1330</v>
      </c>
      <c r="H1388" s="1128">
        <v>0.85</v>
      </c>
      <c r="I1388" s="1128" t="s">
        <v>1331</v>
      </c>
      <c r="J1388" s="1133"/>
      <c r="K1388" s="1128"/>
    </row>
    <row r="1389" spans="2:11" x14ac:dyDescent="0.2">
      <c r="C1389" s="1130"/>
      <c r="D1389" s="1128" t="s">
        <v>1332</v>
      </c>
      <c r="E1389" s="1129"/>
      <c r="F1389" s="1128"/>
      <c r="G1389" s="1132" t="s">
        <v>1330</v>
      </c>
      <c r="H1389" s="1134">
        <v>1</v>
      </c>
      <c r="I1389" s="1128" t="s">
        <v>1331</v>
      </c>
      <c r="J1389" s="1133"/>
      <c r="K1389" s="1128"/>
    </row>
    <row r="1390" spans="2:11" x14ac:dyDescent="0.2">
      <c r="C1390" s="1130"/>
      <c r="D1390" s="1128" t="s">
        <v>1333</v>
      </c>
      <c r="E1390" s="1129"/>
      <c r="F1390" s="1128"/>
      <c r="G1390" s="1132" t="s">
        <v>1330</v>
      </c>
      <c r="H1390" s="1134">
        <v>5</v>
      </c>
      <c r="I1390" s="1128" t="s">
        <v>1331</v>
      </c>
      <c r="J1390" s="1133"/>
      <c r="K1390" s="1128"/>
    </row>
    <row r="1391" spans="2:11" x14ac:dyDescent="0.2">
      <c r="C1391" s="1130"/>
      <c r="D1391" s="1128" t="s">
        <v>1334</v>
      </c>
      <c r="E1391" s="1129"/>
      <c r="F1391" s="1128"/>
      <c r="G1391" s="1132" t="s">
        <v>1335</v>
      </c>
      <c r="H1391" s="1128">
        <v>1</v>
      </c>
      <c r="I1391" s="1128" t="s">
        <v>1336</v>
      </c>
      <c r="J1391" s="1133"/>
      <c r="K1391" s="1128"/>
    </row>
    <row r="1392" spans="2:11" x14ac:dyDescent="0.2">
      <c r="C1392" s="1130"/>
      <c r="D1392" s="1128" t="s">
        <v>1337</v>
      </c>
      <c r="E1392" s="1129"/>
      <c r="F1392" s="1128"/>
      <c r="G1392" s="1132" t="s">
        <v>1330</v>
      </c>
      <c r="H1392" s="1128">
        <v>15</v>
      </c>
      <c r="I1392" s="1128" t="s">
        <v>1338</v>
      </c>
      <c r="J1392" s="1133">
        <f>1/15</f>
        <v>6.6666666666666666E-2</v>
      </c>
      <c r="K1392" s="1128"/>
    </row>
    <row r="1393" spans="3:11" x14ac:dyDescent="0.2">
      <c r="C1393" s="1130"/>
      <c r="D1393" s="1128" t="s">
        <v>1339</v>
      </c>
      <c r="E1393" s="1129"/>
      <c r="F1393" s="1128"/>
      <c r="G1393" s="1132" t="s">
        <v>1330</v>
      </c>
      <c r="H1393" s="1128">
        <v>15</v>
      </c>
      <c r="I1393" s="1128" t="s">
        <v>1338</v>
      </c>
      <c r="J1393" s="1133"/>
      <c r="K1393" s="1128"/>
    </row>
    <row r="1394" spans="3:11" x14ac:dyDescent="0.2">
      <c r="C1394" s="1130"/>
      <c r="D1394" s="1128" t="s">
        <v>1340</v>
      </c>
      <c r="E1394" s="1129"/>
      <c r="F1394" s="1128"/>
      <c r="G1394" s="1132" t="s">
        <v>1330</v>
      </c>
      <c r="H1394" s="1134">
        <v>2</v>
      </c>
      <c r="I1394" s="1128" t="s">
        <v>1341</v>
      </c>
      <c r="J1394" s="1133"/>
      <c r="K1394" s="1128"/>
    </row>
    <row r="1395" spans="3:11" x14ac:dyDescent="0.2">
      <c r="C1395" s="1130"/>
      <c r="D1395" s="1128" t="s">
        <v>1342</v>
      </c>
      <c r="E1395" s="1129"/>
      <c r="F1395" s="1128"/>
      <c r="G1395" s="1132" t="s">
        <v>1330</v>
      </c>
      <c r="H1395" s="1128">
        <v>20</v>
      </c>
      <c r="I1395" s="1128" t="s">
        <v>1343</v>
      </c>
      <c r="J1395" s="1133"/>
      <c r="K1395" s="1128"/>
    </row>
    <row r="1396" spans="3:11" x14ac:dyDescent="0.2">
      <c r="C1396" s="1130"/>
      <c r="D1396" s="1128" t="s">
        <v>1344</v>
      </c>
      <c r="E1396" s="1129"/>
      <c r="F1396" s="1128"/>
      <c r="G1396" s="1132" t="s">
        <v>1330</v>
      </c>
      <c r="H1396" s="1128">
        <v>0.83</v>
      </c>
      <c r="I1396" s="1128" t="s">
        <v>1012</v>
      </c>
      <c r="J1396" s="1133"/>
      <c r="K1396" s="1128"/>
    </row>
    <row r="1397" spans="3:11" x14ac:dyDescent="0.2">
      <c r="C1397" s="1130"/>
      <c r="D1397" s="1128" t="s">
        <v>1345</v>
      </c>
      <c r="E1397" s="1129"/>
      <c r="F1397" s="1128"/>
      <c r="G1397" s="1132" t="s">
        <v>1330</v>
      </c>
      <c r="H1397" s="1128">
        <v>4.16</v>
      </c>
      <c r="I1397" s="1128" t="s">
        <v>1331</v>
      </c>
      <c r="J1397" s="1133"/>
      <c r="K1397" s="1128"/>
    </row>
    <row r="1398" spans="3:11" x14ac:dyDescent="0.2">
      <c r="C1398" s="1130"/>
      <c r="D1398" s="1128" t="s">
        <v>1346</v>
      </c>
      <c r="E1398" s="1129"/>
      <c r="F1398" s="1128"/>
      <c r="G1398" s="1132" t="s">
        <v>1347</v>
      </c>
      <c r="H1398" s="1128">
        <v>5</v>
      </c>
      <c r="I1398" s="1128" t="s">
        <v>1348</v>
      </c>
      <c r="J1398" s="1133"/>
      <c r="K1398" s="1128"/>
    </row>
    <row r="1399" spans="3:11" x14ac:dyDescent="0.2">
      <c r="C1399" s="1130"/>
      <c r="D1399" s="1128" t="s">
        <v>1349</v>
      </c>
      <c r="E1399" s="1129"/>
      <c r="F1399" s="1128"/>
      <c r="G1399" s="1132" t="s">
        <v>1347</v>
      </c>
      <c r="H1399" s="1128">
        <v>4.16</v>
      </c>
      <c r="I1399" s="1128" t="s">
        <v>1331</v>
      </c>
      <c r="J1399" s="1133"/>
      <c r="K1399" s="1128"/>
    </row>
    <row r="1400" spans="3:11" x14ac:dyDescent="0.2">
      <c r="C1400" s="1130"/>
      <c r="D1400" s="1128" t="s">
        <v>1350</v>
      </c>
      <c r="E1400" s="1129"/>
      <c r="F1400" s="1128"/>
      <c r="G1400" s="1132" t="s">
        <v>1330</v>
      </c>
      <c r="H1400" s="1128">
        <v>1.67</v>
      </c>
      <c r="I1400" s="1128" t="s">
        <v>1341</v>
      </c>
      <c r="J1400" s="1133"/>
      <c r="K1400" s="1128"/>
    </row>
    <row r="1401" spans="3:11" x14ac:dyDescent="0.2">
      <c r="C1401" s="1130"/>
      <c r="D1401" s="1128" t="s">
        <v>1351</v>
      </c>
      <c r="E1401" s="1129"/>
      <c r="F1401" s="1128"/>
      <c r="G1401" s="1128"/>
      <c r="H1401" s="1128"/>
      <c r="I1401" s="1128"/>
      <c r="J1401" s="1128"/>
      <c r="K1401" s="1128"/>
    </row>
    <row r="1402" spans="3:11" x14ac:dyDescent="0.2">
      <c r="C1402" s="1130"/>
      <c r="D1402" s="1128" t="s">
        <v>1352</v>
      </c>
      <c r="E1402" s="1129"/>
      <c r="F1402" s="1128"/>
      <c r="G1402" s="1128"/>
      <c r="H1402" s="1128"/>
      <c r="I1402" s="1128"/>
      <c r="J1402" s="1128"/>
      <c r="K1402" s="1128"/>
    </row>
    <row r="1403" spans="3:11" x14ac:dyDescent="0.2">
      <c r="C1403" s="1130"/>
      <c r="D1403" s="1128" t="s">
        <v>1353</v>
      </c>
      <c r="E1403" s="1129"/>
      <c r="F1403" s="1128"/>
      <c r="G1403" s="1128"/>
      <c r="H1403" s="1128"/>
      <c r="I1403" s="1128"/>
      <c r="J1403" s="1128"/>
      <c r="K1403" s="1128"/>
    </row>
    <row r="1404" spans="3:11" x14ac:dyDescent="0.2">
      <c r="C1404" s="1130"/>
      <c r="D1404" s="1128" t="s">
        <v>1354</v>
      </c>
      <c r="E1404" s="1129"/>
      <c r="F1404" s="1128"/>
      <c r="G1404" s="1128"/>
      <c r="H1404" s="1128"/>
      <c r="I1404" s="1128"/>
      <c r="J1404" s="1128"/>
      <c r="K1404" s="1128"/>
    </row>
    <row r="1405" spans="3:11" x14ac:dyDescent="0.2">
      <c r="C1405" s="1130"/>
      <c r="D1405" s="1128" t="s">
        <v>1355</v>
      </c>
      <c r="E1405" s="1129"/>
      <c r="F1405" s="1128"/>
      <c r="G1405" s="1128"/>
      <c r="H1405" s="1128"/>
      <c r="I1405" s="1128"/>
      <c r="J1405" s="1128"/>
      <c r="K1405" s="1128"/>
    </row>
    <row r="1406" spans="3:11" x14ac:dyDescent="0.2">
      <c r="C1406" s="1130"/>
      <c r="D1406" s="1128" t="s">
        <v>1356</v>
      </c>
      <c r="E1406" s="1129"/>
      <c r="F1406" s="1128"/>
      <c r="G1406" s="1128"/>
      <c r="H1406" s="1128"/>
      <c r="I1406" s="1128"/>
      <c r="J1406" s="1128"/>
      <c r="K1406" s="1128"/>
    </row>
    <row r="1407" spans="3:11" x14ac:dyDescent="0.2">
      <c r="C1407" s="1130"/>
      <c r="D1407" s="1128" t="s">
        <v>1357</v>
      </c>
      <c r="E1407" s="1129"/>
      <c r="F1407" s="1128"/>
      <c r="G1407" s="1132" t="s">
        <v>1330</v>
      </c>
      <c r="H1407" s="1128">
        <v>1.67</v>
      </c>
      <c r="I1407" s="1128" t="s">
        <v>1341</v>
      </c>
      <c r="J1407" s="1133"/>
      <c r="K1407" s="1128"/>
    </row>
    <row r="1408" spans="3:11" x14ac:dyDescent="0.2">
      <c r="C1408" s="1130"/>
      <c r="D1408" s="1135" t="s">
        <v>1358</v>
      </c>
      <c r="E1408" s="1136"/>
      <c r="F1408" s="1135"/>
      <c r="G1408" s="1137" t="s">
        <v>1330</v>
      </c>
      <c r="H1408" s="1138">
        <v>3</v>
      </c>
      <c r="I1408" s="1135" t="s">
        <v>1341</v>
      </c>
      <c r="J1408" s="1133"/>
      <c r="K1408" s="1128"/>
    </row>
    <row r="1409" spans="3:11" x14ac:dyDescent="0.2">
      <c r="C1409" s="1130"/>
      <c r="D1409" s="1135" t="s">
        <v>1359</v>
      </c>
      <c r="E1409" s="1136"/>
      <c r="F1409" s="1135"/>
      <c r="G1409" s="1137" t="s">
        <v>1330</v>
      </c>
      <c r="H1409" s="1138">
        <v>2</v>
      </c>
      <c r="I1409" s="1135" t="s">
        <v>1341</v>
      </c>
      <c r="J1409" s="1133"/>
      <c r="K1409" s="1128"/>
    </row>
    <row r="1410" spans="3:11" x14ac:dyDescent="0.2">
      <c r="C1410" s="1130"/>
      <c r="D1410" s="1135" t="s">
        <v>1360</v>
      </c>
      <c r="E1410" s="1136"/>
      <c r="F1410" s="1135"/>
      <c r="G1410" s="1137" t="s">
        <v>1330</v>
      </c>
      <c r="H1410" s="1138">
        <v>3</v>
      </c>
      <c r="I1410" s="1135" t="s">
        <v>1341</v>
      </c>
      <c r="J1410" s="1133"/>
      <c r="K1410" s="1128"/>
    </row>
    <row r="1411" spans="3:11" x14ac:dyDescent="0.2">
      <c r="C1411" s="1130"/>
      <c r="D1411" s="1128" t="s">
        <v>1361</v>
      </c>
      <c r="E1411" s="1129"/>
      <c r="F1411" s="1128"/>
      <c r="G1411" s="1132" t="s">
        <v>1330</v>
      </c>
      <c r="H1411" s="1128">
        <v>0.33</v>
      </c>
      <c r="I1411" s="1128" t="s">
        <v>1341</v>
      </c>
      <c r="J1411" s="1139"/>
      <c r="K1411" s="1128"/>
    </row>
    <row r="1412" spans="3:11" x14ac:dyDescent="0.2">
      <c r="C1412" s="1130"/>
      <c r="D1412" s="1128" t="s">
        <v>1362</v>
      </c>
      <c r="E1412" s="1129"/>
      <c r="F1412" s="1128"/>
      <c r="G1412" s="1132" t="s">
        <v>1330</v>
      </c>
      <c r="H1412" s="1134">
        <f>SUM(H1407:H1411)</f>
        <v>10</v>
      </c>
      <c r="I1412" s="1128" t="s">
        <v>1341</v>
      </c>
      <c r="J1412" s="1133"/>
      <c r="K1412" s="1128"/>
    </row>
    <row r="1413" spans="3:11" x14ac:dyDescent="0.2">
      <c r="C1413" s="1130"/>
      <c r="D1413" s="1128" t="s">
        <v>1363</v>
      </c>
      <c r="E1413" s="1129"/>
      <c r="F1413" s="1128"/>
      <c r="G1413" s="1132" t="s">
        <v>1330</v>
      </c>
      <c r="H1413" s="1128">
        <v>5</v>
      </c>
      <c r="I1413" s="1128" t="s">
        <v>1364</v>
      </c>
      <c r="J1413" s="1133"/>
      <c r="K1413" s="1128"/>
    </row>
    <row r="1414" spans="3:11" x14ac:dyDescent="0.2">
      <c r="C1414" s="1130"/>
      <c r="D1414" s="1128" t="s">
        <v>1365</v>
      </c>
      <c r="E1414" s="1129"/>
      <c r="F1414" s="1128"/>
      <c r="G1414" s="1132" t="s">
        <v>1330</v>
      </c>
      <c r="H1414" s="1128">
        <v>20.8</v>
      </c>
      <c r="I1414" s="1128" t="s">
        <v>1331</v>
      </c>
      <c r="J1414" s="1133"/>
      <c r="K1414" s="1128"/>
    </row>
    <row r="1415" spans="3:11" x14ac:dyDescent="0.2">
      <c r="C1415" s="1130"/>
      <c r="D1415" s="1128" t="s">
        <v>1366</v>
      </c>
      <c r="E1415" s="1129"/>
      <c r="F1415" s="1128"/>
      <c r="G1415" s="1132" t="s">
        <v>1330</v>
      </c>
      <c r="H1415" s="1128">
        <v>832</v>
      </c>
      <c r="I1415" s="1128" t="s">
        <v>1012</v>
      </c>
      <c r="J1415" s="1133"/>
      <c r="K1415" s="1128"/>
    </row>
    <row r="1416" spans="3:11" x14ac:dyDescent="0.2">
      <c r="C1416" s="1130"/>
      <c r="D1416" s="1128" t="s">
        <v>1367</v>
      </c>
      <c r="E1416" s="1129"/>
      <c r="F1416" s="1128"/>
      <c r="G1416" s="1128"/>
      <c r="H1416" s="1128"/>
      <c r="I1416" s="1128"/>
      <c r="J1416" s="1128"/>
      <c r="K1416" s="1128"/>
    </row>
    <row r="1417" spans="3:11" x14ac:dyDescent="0.2">
      <c r="C1417" s="1130"/>
      <c r="D1417" s="1128" t="s">
        <v>1368</v>
      </c>
      <c r="E1417" s="1129"/>
      <c r="F1417" s="1128"/>
      <c r="G1417" s="1128"/>
      <c r="H1417" s="1128"/>
      <c r="I1417" s="1128"/>
      <c r="J1417" s="1128"/>
      <c r="K1417" s="1128"/>
    </row>
    <row r="1418" spans="3:11" x14ac:dyDescent="0.2">
      <c r="C1418" s="1130"/>
      <c r="D1418" s="1128" t="s">
        <v>1369</v>
      </c>
      <c r="E1418" s="1129"/>
      <c r="F1418" s="1128"/>
      <c r="G1418" s="1132" t="s">
        <v>1347</v>
      </c>
      <c r="H1418" s="1128">
        <v>925</v>
      </c>
      <c r="I1418" s="1128" t="s">
        <v>1331</v>
      </c>
      <c r="J1418" s="1128"/>
      <c r="K1418" s="1128"/>
    </row>
    <row r="1419" spans="3:11" x14ac:dyDescent="0.2">
      <c r="C1419" s="1130"/>
      <c r="D1419" s="1128" t="s">
        <v>1370</v>
      </c>
      <c r="E1419" s="1129"/>
      <c r="F1419" s="1128"/>
      <c r="G1419" s="1128"/>
      <c r="H1419" s="1128"/>
      <c r="I1419" s="1128"/>
      <c r="J1419" s="1128"/>
      <c r="K1419" s="1128"/>
    </row>
    <row r="1420" spans="3:11" x14ac:dyDescent="0.2">
      <c r="C1420" s="1130"/>
      <c r="D1420" s="1128" t="s">
        <v>1371</v>
      </c>
      <c r="E1420" s="1129"/>
      <c r="F1420" s="1128"/>
      <c r="G1420" s="1128"/>
      <c r="H1420" s="1128"/>
      <c r="I1420" s="1128"/>
      <c r="J1420" s="1128"/>
      <c r="K1420" s="1128"/>
    </row>
    <row r="1421" spans="3:11" x14ac:dyDescent="0.2">
      <c r="C1421" s="1130"/>
      <c r="D1421" s="1128" t="s">
        <v>1372</v>
      </c>
      <c r="E1421" s="1129"/>
      <c r="F1421" s="1128"/>
      <c r="G1421" s="1128"/>
      <c r="H1421" s="1128"/>
      <c r="I1421" s="1128"/>
      <c r="J1421" s="1128"/>
      <c r="K1421" s="1128"/>
    </row>
    <row r="1422" spans="3:11" x14ac:dyDescent="0.2">
      <c r="C1422" s="1140"/>
      <c r="D1422" s="1132"/>
      <c r="E1422" s="1129"/>
      <c r="F1422" s="1128"/>
      <c r="G1422" s="1128"/>
      <c r="H1422" s="1128"/>
      <c r="I1422" s="1128"/>
      <c r="J1422" s="1128"/>
      <c r="K1422" s="1128"/>
    </row>
    <row r="1423" spans="3:11" x14ac:dyDescent="0.2">
      <c r="C1423" s="1141" t="s">
        <v>1328</v>
      </c>
      <c r="D1423" s="1132"/>
      <c r="E1423" s="1142" t="s">
        <v>1373</v>
      </c>
      <c r="F1423" s="1128"/>
      <c r="G1423" s="1143" t="s">
        <v>1374</v>
      </c>
      <c r="H1423" s="1144">
        <v>925</v>
      </c>
      <c r="I1423" s="1128" t="s">
        <v>1012</v>
      </c>
      <c r="J1423" s="1128"/>
      <c r="K1423" s="1128"/>
    </row>
    <row r="1424" spans="3:11" x14ac:dyDescent="0.2">
      <c r="C1424" s="1140"/>
      <c r="D1424" s="1145" t="s">
        <v>1375</v>
      </c>
      <c r="E1424" s="1129"/>
      <c r="F1424" s="1128"/>
      <c r="G1424" s="1128"/>
      <c r="H1424" s="1128"/>
      <c r="I1424" s="1128"/>
      <c r="J1424" s="1128"/>
      <c r="K1424" s="1128"/>
    </row>
    <row r="1425" spans="3:11" x14ac:dyDescent="0.2">
      <c r="C1425" s="1140"/>
      <c r="D1425" s="1146" t="s">
        <v>1376</v>
      </c>
      <c r="E1425" s="1147" t="s">
        <v>1377</v>
      </c>
      <c r="F1425" s="1146" t="s">
        <v>1378</v>
      </c>
      <c r="G1425" s="1146" t="s">
        <v>139</v>
      </c>
      <c r="H1425" s="1146" t="s">
        <v>140</v>
      </c>
      <c r="I1425" s="1146" t="s">
        <v>141</v>
      </c>
      <c r="J1425" s="1128"/>
      <c r="K1425" s="1128"/>
    </row>
    <row r="1426" spans="3:11" x14ac:dyDescent="0.2">
      <c r="C1426" s="1140"/>
      <c r="D1426" s="1148"/>
      <c r="E1426" s="1149"/>
      <c r="F1426" s="1148"/>
      <c r="G1426" s="1148"/>
      <c r="H1426" s="1148" t="s">
        <v>1379</v>
      </c>
      <c r="I1426" s="1148" t="s">
        <v>1379</v>
      </c>
      <c r="J1426" s="1128"/>
      <c r="K1426" s="1128"/>
    </row>
    <row r="1427" spans="3:11" x14ac:dyDescent="0.2">
      <c r="C1427" s="1140"/>
      <c r="D1427" s="1146">
        <v>1</v>
      </c>
      <c r="E1427" s="1150" t="s">
        <v>1380</v>
      </c>
      <c r="F1427" s="1146"/>
      <c r="G1427" s="1151">
        <v>0</v>
      </c>
      <c r="H1427" s="1152">
        <v>0</v>
      </c>
      <c r="I1427" s="1151">
        <v>0</v>
      </c>
      <c r="J1427" s="1128"/>
      <c r="K1427" s="1128"/>
    </row>
    <row r="1428" spans="3:11" x14ac:dyDescent="0.2">
      <c r="C1428" s="1140"/>
      <c r="D1428" s="1153"/>
      <c r="E1428" s="1154"/>
      <c r="F1428" s="1155"/>
      <c r="G1428" s="1151">
        <v>0</v>
      </c>
      <c r="H1428" s="1152">
        <v>0</v>
      </c>
      <c r="I1428" s="1151">
        <v>0</v>
      </c>
      <c r="J1428" s="1128"/>
      <c r="K1428" s="1128"/>
    </row>
    <row r="1429" spans="3:11" x14ac:dyDescent="0.2">
      <c r="C1429" s="1140"/>
      <c r="D1429" s="1156"/>
      <c r="E1429" s="1157" t="s">
        <v>1381</v>
      </c>
      <c r="F1429" s="1158"/>
      <c r="G1429" s="1159"/>
      <c r="H1429" s="1160" t="s">
        <v>1382</v>
      </c>
      <c r="I1429" s="1161">
        <v>0</v>
      </c>
      <c r="J1429" s="1128"/>
      <c r="K1429" s="1128"/>
    </row>
    <row r="1430" spans="3:11" x14ac:dyDescent="0.2">
      <c r="C1430" s="1140"/>
      <c r="D1430" s="1132"/>
      <c r="E1430" s="1129"/>
      <c r="F1430" s="1128"/>
      <c r="G1430" s="1128"/>
      <c r="H1430" s="1128"/>
      <c r="I1430" s="1134"/>
      <c r="J1430" s="1128"/>
      <c r="K1430" s="1128"/>
    </row>
    <row r="1431" spans="3:11" x14ac:dyDescent="0.2">
      <c r="C1431" s="1140"/>
      <c r="D1431" s="1145" t="s">
        <v>1383</v>
      </c>
      <c r="E1431" s="1129"/>
      <c r="F1431" s="1128"/>
      <c r="G1431" s="1128"/>
      <c r="H1431" s="1128"/>
      <c r="I1431" s="1128"/>
      <c r="J1431" s="1128"/>
      <c r="K1431" s="1128"/>
    </row>
    <row r="1432" spans="3:11" x14ac:dyDescent="0.2">
      <c r="C1432" s="1140"/>
      <c r="D1432" s="1146" t="s">
        <v>1376</v>
      </c>
      <c r="E1432" s="1147" t="s">
        <v>284</v>
      </c>
      <c r="F1432" s="1146" t="s">
        <v>1378</v>
      </c>
      <c r="G1432" s="1146" t="s">
        <v>139</v>
      </c>
      <c r="H1432" s="1146" t="s">
        <v>140</v>
      </c>
      <c r="I1432" s="1146" t="s">
        <v>141</v>
      </c>
      <c r="J1432" s="1128"/>
      <c r="K1432" s="1128"/>
    </row>
    <row r="1433" spans="3:11" x14ac:dyDescent="0.2">
      <c r="C1433" s="1140"/>
      <c r="D1433" s="1148"/>
      <c r="E1433" s="1149"/>
      <c r="F1433" s="1148"/>
      <c r="G1433" s="1148"/>
      <c r="H1433" s="1148" t="s">
        <v>1379</v>
      </c>
      <c r="I1433" s="1148" t="s">
        <v>1379</v>
      </c>
      <c r="J1433" s="1128"/>
      <c r="K1433" s="1128"/>
    </row>
    <row r="1434" spans="3:11" x14ac:dyDescent="0.2">
      <c r="C1434" s="1140"/>
      <c r="D1434" s="1146">
        <v>1</v>
      </c>
      <c r="E1434" s="1154" t="s">
        <v>1384</v>
      </c>
      <c r="F1434" s="1146" t="s">
        <v>1213</v>
      </c>
      <c r="G1434" s="1151">
        <v>8</v>
      </c>
      <c r="H1434" s="1152">
        <v>1706.6</v>
      </c>
      <c r="I1434" s="1151">
        <f>+H1434*G1434</f>
        <v>13652.8</v>
      </c>
      <c r="J1434" s="1162"/>
      <c r="K1434" s="1163"/>
    </row>
    <row r="1435" spans="3:11" x14ac:dyDescent="0.2">
      <c r="C1435" s="1140"/>
      <c r="D1435" s="1164"/>
      <c r="E1435" s="1154" t="s">
        <v>1385</v>
      </c>
      <c r="F1435" s="1155" t="s">
        <v>1213</v>
      </c>
      <c r="G1435" s="1151">
        <v>8</v>
      </c>
      <c r="H1435" s="1152">
        <v>862.1</v>
      </c>
      <c r="I1435" s="1151">
        <f>+H1435*G1435</f>
        <v>6896.8</v>
      </c>
      <c r="J1435" s="1162"/>
      <c r="K1435" s="1128"/>
    </row>
    <row r="1436" spans="3:11" ht="25.5" x14ac:dyDescent="0.2">
      <c r="C1436" s="1140"/>
      <c r="D1436" s="1155">
        <v>2</v>
      </c>
      <c r="E1436" s="1154" t="s">
        <v>1386</v>
      </c>
      <c r="F1436" s="1155" t="s">
        <v>1213</v>
      </c>
      <c r="G1436" s="1151">
        <v>48</v>
      </c>
      <c r="H1436" s="1152">
        <v>446.7</v>
      </c>
      <c r="I1436" s="1151">
        <f>+H1436*G1436</f>
        <v>21441.599999999999</v>
      </c>
      <c r="J1436" s="1162"/>
      <c r="K1436" s="1128"/>
    </row>
    <row r="1437" spans="3:11" x14ac:dyDescent="0.2">
      <c r="C1437" s="1140"/>
      <c r="D1437" s="1165"/>
      <c r="E1437" s="1154" t="s">
        <v>1385</v>
      </c>
      <c r="F1437" s="1155" t="s">
        <v>1213</v>
      </c>
      <c r="G1437" s="1151">
        <v>48</v>
      </c>
      <c r="H1437" s="1152">
        <v>296.3</v>
      </c>
      <c r="I1437" s="1151">
        <f>+H1437*G1437</f>
        <v>14222.400000000001</v>
      </c>
      <c r="J1437" s="1162"/>
      <c r="K1437" s="1128"/>
    </row>
    <row r="1438" spans="3:11" ht="25.5" x14ac:dyDescent="0.2">
      <c r="C1438" s="1140"/>
      <c r="D1438" s="1166"/>
      <c r="E1438" s="1167" t="s">
        <v>1387</v>
      </c>
      <c r="F1438" s="1168"/>
      <c r="G1438" s="1169"/>
      <c r="H1438" s="1160" t="s">
        <v>1382</v>
      </c>
      <c r="I1438" s="1170">
        <f>SUM(I1434:I1437)</f>
        <v>56213.599999999999</v>
      </c>
      <c r="J1438" s="1128"/>
      <c r="K1438" s="1128"/>
    </row>
    <row r="1439" spans="3:11" x14ac:dyDescent="0.2">
      <c r="C1439" s="1140"/>
      <c r="D1439" s="1132"/>
      <c r="E1439" s="1129"/>
      <c r="F1439" s="1128"/>
      <c r="G1439" s="1128"/>
      <c r="H1439" s="1128"/>
      <c r="I1439" s="1128"/>
      <c r="J1439" s="1128"/>
      <c r="K1439" s="1128"/>
    </row>
    <row r="1440" spans="3:11" x14ac:dyDescent="0.2">
      <c r="C1440" s="1140"/>
      <c r="D1440" s="1145" t="s">
        <v>1388</v>
      </c>
      <c r="E1440" s="1129"/>
      <c r="F1440" s="1128"/>
      <c r="G1440" s="1128"/>
      <c r="H1440" s="1128"/>
      <c r="I1440" s="1128"/>
      <c r="J1440" s="1128"/>
      <c r="K1440" s="1128"/>
    </row>
    <row r="1441" spans="3:11" x14ac:dyDescent="0.2">
      <c r="C1441" s="1140"/>
      <c r="D1441" s="1146" t="s">
        <v>1376</v>
      </c>
      <c r="E1441" s="1147" t="s">
        <v>284</v>
      </c>
      <c r="F1441" s="1146" t="s">
        <v>1378</v>
      </c>
      <c r="G1441" s="1146" t="s">
        <v>139</v>
      </c>
      <c r="H1441" s="1146" t="s">
        <v>140</v>
      </c>
      <c r="I1441" s="1146" t="s">
        <v>141</v>
      </c>
      <c r="J1441" s="1128"/>
      <c r="K1441" s="1128"/>
    </row>
    <row r="1442" spans="3:11" x14ac:dyDescent="0.2">
      <c r="C1442" s="1140"/>
      <c r="D1442" s="1148"/>
      <c r="E1442" s="1149"/>
      <c r="F1442" s="1155"/>
      <c r="G1442" s="1148"/>
      <c r="H1442" s="1148" t="s">
        <v>1379</v>
      </c>
      <c r="I1442" s="1148" t="s">
        <v>1379</v>
      </c>
      <c r="J1442" s="1128"/>
      <c r="K1442" s="1128"/>
    </row>
    <row r="1443" spans="3:11" x14ac:dyDescent="0.2">
      <c r="C1443" s="1140"/>
      <c r="D1443" s="1155">
        <v>1</v>
      </c>
      <c r="E1443" s="1171" t="s">
        <v>1389</v>
      </c>
      <c r="F1443" s="1146" t="s">
        <v>1213</v>
      </c>
      <c r="G1443" s="1172">
        <v>8</v>
      </c>
      <c r="H1443" s="1173">
        <v>222.3</v>
      </c>
      <c r="I1443" s="1151">
        <f>+H1443*G1443</f>
        <v>1778.4</v>
      </c>
      <c r="J1443" s="1128"/>
      <c r="K1443" s="1128"/>
    </row>
    <row r="1444" spans="3:11" x14ac:dyDescent="0.2">
      <c r="C1444" s="1140"/>
      <c r="D1444" s="1155">
        <v>2</v>
      </c>
      <c r="E1444" s="1171" t="s">
        <v>1390</v>
      </c>
      <c r="F1444" s="1155" t="s">
        <v>1213</v>
      </c>
      <c r="G1444" s="1172">
        <v>48</v>
      </c>
      <c r="H1444" s="1173">
        <v>166.7</v>
      </c>
      <c r="I1444" s="1151">
        <f>+H1444*G1444</f>
        <v>8001.5999999999995</v>
      </c>
      <c r="J1444" s="1128"/>
      <c r="K1444" s="1128"/>
    </row>
    <row r="1445" spans="3:11" x14ac:dyDescent="0.2">
      <c r="C1445" s="1140"/>
      <c r="D1445" s="1155">
        <v>3</v>
      </c>
      <c r="E1445" s="1171" t="s">
        <v>1391</v>
      </c>
      <c r="F1445" s="1155" t="s">
        <v>1392</v>
      </c>
      <c r="G1445" s="1172">
        <v>1</v>
      </c>
      <c r="H1445" s="1173">
        <v>400</v>
      </c>
      <c r="I1445" s="1151">
        <f>+H1445*G1445</f>
        <v>400</v>
      </c>
      <c r="J1445" s="1128"/>
      <c r="K1445" s="1128"/>
    </row>
    <row r="1446" spans="3:11" x14ac:dyDescent="0.2">
      <c r="C1446" s="1140"/>
      <c r="D1446" s="1155">
        <v>4</v>
      </c>
      <c r="E1446" s="1171" t="s">
        <v>1393</v>
      </c>
      <c r="F1446" s="1155" t="s">
        <v>1392</v>
      </c>
      <c r="G1446" s="1172">
        <v>30</v>
      </c>
      <c r="H1446" s="1173">
        <v>320</v>
      </c>
      <c r="I1446" s="1151">
        <f>+H1446*G1446</f>
        <v>9600</v>
      </c>
      <c r="J1446" s="1128"/>
      <c r="K1446" s="1128"/>
    </row>
    <row r="1447" spans="3:11" x14ac:dyDescent="0.2">
      <c r="C1447" s="1140"/>
      <c r="D1447" s="1156"/>
      <c r="E1447" s="1157" t="s">
        <v>1394</v>
      </c>
      <c r="F1447" s="1158"/>
      <c r="G1447" s="1159"/>
      <c r="H1447" s="1160" t="s">
        <v>1382</v>
      </c>
      <c r="I1447" s="1170">
        <f>SUM(I1443:I1446)</f>
        <v>19780</v>
      </c>
      <c r="J1447" s="1128"/>
      <c r="K1447" s="1128"/>
    </row>
    <row r="1448" spans="3:11" x14ac:dyDescent="0.2">
      <c r="C1448" s="1140"/>
      <c r="D1448" s="1174" t="s">
        <v>1395</v>
      </c>
      <c r="E1448" s="1175"/>
      <c r="F1448" s="1174"/>
      <c r="G1448" s="1176">
        <f>I1447/H1423</f>
        <v>21.383783783783784</v>
      </c>
      <c r="H1448" s="1128"/>
      <c r="I1448" s="1128"/>
      <c r="J1448" s="1128"/>
      <c r="K1448" s="1128"/>
    </row>
    <row r="1449" spans="3:11" x14ac:dyDescent="0.2">
      <c r="C1449" s="1140"/>
      <c r="D1449" s="129" t="s">
        <v>2102</v>
      </c>
      <c r="E1449" s="1175"/>
      <c r="F1449" s="1944">
        <f>+I5</f>
        <v>0.13614999999999999</v>
      </c>
      <c r="G1449" s="1176">
        <f>+F1449*G1448</f>
        <v>2.9114021621621622</v>
      </c>
      <c r="H1449" s="1128"/>
      <c r="I1449" s="1128"/>
      <c r="J1449" s="1128"/>
      <c r="K1449" s="1128"/>
    </row>
    <row r="1450" spans="3:11" x14ac:dyDescent="0.2">
      <c r="C1450" s="1140"/>
      <c r="D1450" s="1174" t="s">
        <v>2103</v>
      </c>
      <c r="E1450" s="1175"/>
      <c r="F1450" s="1174"/>
      <c r="G1450" s="1177">
        <f>SUM(G1448:G1449)</f>
        <v>24.295185945945946</v>
      </c>
      <c r="H1450" s="1128"/>
      <c r="I1450" s="1128"/>
      <c r="J1450" s="1128"/>
      <c r="K1450" s="1128"/>
    </row>
    <row r="1451" spans="3:11" x14ac:dyDescent="0.2">
      <c r="C1451" s="1140"/>
      <c r="D1451" s="1132"/>
      <c r="E1451" s="1129"/>
      <c r="F1451" s="1128"/>
      <c r="G1451" s="1128"/>
      <c r="H1451" s="1128"/>
      <c r="I1451" s="1134"/>
      <c r="J1451" s="1128"/>
      <c r="K1451" s="1128"/>
    </row>
    <row r="1452" spans="3:11" x14ac:dyDescent="0.2">
      <c r="C1452" s="1140"/>
      <c r="D1452" s="1178" t="s">
        <v>1396</v>
      </c>
      <c r="E1452" s="1129"/>
      <c r="F1452" s="1128"/>
      <c r="G1452" s="1128"/>
      <c r="H1452" s="1128"/>
      <c r="I1452" s="1128"/>
      <c r="J1452" s="1128"/>
      <c r="K1452" s="1128"/>
    </row>
    <row r="1453" spans="3:11" x14ac:dyDescent="0.2">
      <c r="C1453" s="1140"/>
      <c r="D1453" s="1128" t="s">
        <v>1397</v>
      </c>
      <c r="E1453" s="1129"/>
      <c r="F1453" s="1128"/>
      <c r="G1453" s="1128"/>
      <c r="H1453" s="1143" t="s">
        <v>1382</v>
      </c>
      <c r="I1453" s="1134">
        <f>I1429</f>
        <v>0</v>
      </c>
      <c r="J1453" s="1128"/>
      <c r="K1453" s="1128"/>
    </row>
    <row r="1454" spans="3:11" x14ac:dyDescent="0.2">
      <c r="C1454" s="1140"/>
      <c r="D1454" s="1128" t="s">
        <v>1398</v>
      </c>
      <c r="E1454" s="1129"/>
      <c r="F1454" s="1128"/>
      <c r="G1454" s="1128"/>
      <c r="H1454" s="1143" t="s">
        <v>1382</v>
      </c>
      <c r="I1454" s="1134">
        <f>I1438</f>
        <v>56213.599999999999</v>
      </c>
      <c r="J1454" s="1128"/>
      <c r="K1454" s="1128"/>
    </row>
    <row r="1455" spans="3:11" x14ac:dyDescent="0.2">
      <c r="C1455" s="1140"/>
      <c r="D1455" s="1128" t="s">
        <v>1399</v>
      </c>
      <c r="E1455" s="1129"/>
      <c r="F1455" s="1128"/>
      <c r="G1455" s="1128"/>
      <c r="H1455" s="1143" t="s">
        <v>1382</v>
      </c>
      <c r="I1455" s="1179">
        <f>I1447</f>
        <v>19780</v>
      </c>
      <c r="J1455" s="1128" t="s">
        <v>1400</v>
      </c>
      <c r="K1455" s="1128"/>
    </row>
    <row r="1456" spans="3:11" x14ac:dyDescent="0.2">
      <c r="C1456" s="1140"/>
      <c r="D1456" s="1128"/>
      <c r="E1456" s="129" t="str">
        <f>+IF($I$4=0%,"---","Municipal allowance")</f>
        <v>Municipal allowance</v>
      </c>
      <c r="F1456" s="928">
        <f>$I$4</f>
        <v>0.2</v>
      </c>
      <c r="G1456" s="1128"/>
      <c r="H1456" s="1143"/>
      <c r="I1456" s="1179">
        <f>I1455*F1456</f>
        <v>3956</v>
      </c>
      <c r="J1456" s="1128"/>
      <c r="K1456" s="1128"/>
    </row>
    <row r="1457" spans="1:11" x14ac:dyDescent="0.2">
      <c r="C1457" s="1140"/>
      <c r="D1457" s="1128" t="s">
        <v>23</v>
      </c>
      <c r="E1457" s="1129"/>
      <c r="F1457" s="1180"/>
      <c r="G1457" s="1128"/>
      <c r="H1457" s="1143" t="s">
        <v>1401</v>
      </c>
      <c r="I1457" s="1181">
        <f>SUM(I1453:I1456)</f>
        <v>79949.600000000006</v>
      </c>
      <c r="J1457" s="1128"/>
      <c r="K1457" s="1128"/>
    </row>
    <row r="1458" spans="1:11" x14ac:dyDescent="0.2">
      <c r="C1458" s="1140"/>
      <c r="D1458" s="2040" t="s">
        <v>2105</v>
      </c>
      <c r="E1458" s="2040"/>
      <c r="F1458" s="2040"/>
      <c r="G1458" s="1940">
        <f>+$I$5</f>
        <v>0.13614999999999999</v>
      </c>
      <c r="H1458" s="1143" t="s">
        <v>1382</v>
      </c>
      <c r="I1458" s="1179">
        <f>I1457*G1458</f>
        <v>10885.13804</v>
      </c>
      <c r="J1458" s="1128"/>
      <c r="K1458" s="1128"/>
    </row>
    <row r="1459" spans="1:11" x14ac:dyDescent="0.2">
      <c r="C1459" s="1140"/>
      <c r="D1459" s="1128" t="s">
        <v>1402</v>
      </c>
      <c r="E1459" s="1129"/>
      <c r="F1459" s="1182">
        <f>H1423</f>
        <v>925</v>
      </c>
      <c r="G1459" s="1178" t="s">
        <v>1012</v>
      </c>
      <c r="H1459" s="1143" t="s">
        <v>1382</v>
      </c>
      <c r="I1459" s="1182">
        <f>SUM(I1457:I1458)</f>
        <v>90834.738040000011</v>
      </c>
      <c r="J1459" s="1128"/>
      <c r="K1459" s="1128"/>
    </row>
    <row r="1460" spans="1:11" x14ac:dyDescent="0.2">
      <c r="A1460" s="933"/>
      <c r="C1460" s="1140"/>
      <c r="D1460" s="1183" t="s">
        <v>1403</v>
      </c>
      <c r="E1460" s="1184" t="s">
        <v>1012</v>
      </c>
      <c r="F1460" s="1178" t="s">
        <v>1404</v>
      </c>
      <c r="G1460" s="1128"/>
      <c r="H1460" s="1143" t="s">
        <v>1022</v>
      </c>
      <c r="I1460" s="1170">
        <f>ROUND(I1459/F1459,1)</f>
        <v>98.2</v>
      </c>
      <c r="J1460" s="1128"/>
      <c r="K1460" s="1128"/>
    </row>
    <row r="1462" spans="1:11" x14ac:dyDescent="0.2">
      <c r="E1462" s="1185" t="s">
        <v>1405</v>
      </c>
    </row>
    <row r="1463" spans="1:11" ht="23.25" x14ac:dyDescent="0.2">
      <c r="B1463" s="2046" t="s">
        <v>1406</v>
      </c>
      <c r="C1463" s="1186" t="s">
        <v>1407</v>
      </c>
      <c r="D1463" s="1187" t="s">
        <v>1408</v>
      </c>
      <c r="E1463" s="1188"/>
      <c r="F1463" s="1187"/>
      <c r="G1463" s="1187"/>
      <c r="H1463" s="1187"/>
      <c r="I1463" s="1187"/>
      <c r="J1463" s="1128"/>
    </row>
    <row r="1464" spans="1:11" x14ac:dyDescent="0.2">
      <c r="B1464" s="2047"/>
      <c r="C1464" s="1189"/>
      <c r="D1464" s="1187" t="s">
        <v>1409</v>
      </c>
      <c r="E1464" s="1188"/>
      <c r="F1464" s="1187"/>
      <c r="G1464" s="1187"/>
      <c r="H1464" s="1187"/>
      <c r="I1464" s="1187"/>
      <c r="J1464" s="1128"/>
    </row>
    <row r="1465" spans="1:11" x14ac:dyDescent="0.2">
      <c r="B1465" s="2047"/>
      <c r="C1465" s="1189"/>
      <c r="D1465" s="1187" t="s">
        <v>1410</v>
      </c>
      <c r="E1465" s="1188"/>
      <c r="F1465" s="1187"/>
      <c r="G1465" s="1187"/>
      <c r="H1465" s="1187"/>
      <c r="I1465" s="1187"/>
      <c r="J1465" s="1128"/>
    </row>
    <row r="1466" spans="1:11" x14ac:dyDescent="0.2">
      <c r="B1466" s="2047"/>
      <c r="C1466" s="1189"/>
      <c r="D1466" s="1187" t="s">
        <v>1411</v>
      </c>
      <c r="E1466" s="1188"/>
      <c r="F1466" s="1187"/>
      <c r="G1466" s="1187"/>
      <c r="H1466" s="1187"/>
      <c r="I1466" s="1187"/>
      <c r="J1466" s="1128"/>
    </row>
    <row r="1467" spans="1:11" x14ac:dyDescent="0.2">
      <c r="B1467" s="2048"/>
      <c r="C1467" s="1189"/>
      <c r="D1467" s="1190" t="s">
        <v>1412</v>
      </c>
      <c r="E1467" s="1188"/>
      <c r="F1467" s="1187"/>
      <c r="G1467" s="1187"/>
      <c r="H1467" s="1187"/>
      <c r="I1467" s="1187"/>
      <c r="J1467" s="1128"/>
    </row>
    <row r="1468" spans="1:11" x14ac:dyDescent="0.2">
      <c r="B1468" s="1191"/>
      <c r="C1468" s="1192"/>
      <c r="D1468" s="1190" t="s">
        <v>1413</v>
      </c>
      <c r="E1468" s="1188"/>
      <c r="F1468" s="1187"/>
      <c r="G1468" s="1187"/>
      <c r="H1468" s="1187"/>
      <c r="I1468" s="1187"/>
      <c r="J1468" s="1128"/>
    </row>
    <row r="1469" spans="1:11" x14ac:dyDescent="0.2">
      <c r="B1469" s="1191"/>
      <c r="C1469" s="1192"/>
      <c r="D1469" s="1187"/>
      <c r="E1469" s="1188"/>
      <c r="F1469" s="1187"/>
      <c r="G1469" s="1187"/>
      <c r="H1469" s="1187"/>
      <c r="I1469" s="1187"/>
      <c r="J1469" s="1128"/>
    </row>
    <row r="1470" spans="1:11" x14ac:dyDescent="0.2">
      <c r="B1470" s="1191"/>
      <c r="C1470" s="1189" t="s">
        <v>1328</v>
      </c>
      <c r="D1470" s="1187" t="s">
        <v>1414</v>
      </c>
      <c r="E1470" s="1188"/>
      <c r="F1470" s="1187"/>
      <c r="G1470" s="1187"/>
      <c r="H1470" s="1193" t="s">
        <v>1330</v>
      </c>
      <c r="I1470" s="1187">
        <v>600</v>
      </c>
      <c r="J1470" s="1128"/>
    </row>
    <row r="1471" spans="1:11" x14ac:dyDescent="0.2">
      <c r="B1471" s="1191"/>
      <c r="C1471" s="1192">
        <v>1</v>
      </c>
      <c r="D1471" s="1190" t="s">
        <v>1415</v>
      </c>
      <c r="E1471" s="1188"/>
      <c r="F1471" s="1187"/>
      <c r="G1471" s="1187"/>
      <c r="H1471" s="1187"/>
      <c r="I1471" s="1187"/>
      <c r="J1471" s="1128"/>
    </row>
    <row r="1472" spans="1:11" x14ac:dyDescent="0.2">
      <c r="B1472" s="1191"/>
      <c r="C1472" s="1194"/>
      <c r="D1472" s="1187" t="s">
        <v>1416</v>
      </c>
      <c r="E1472" s="1188"/>
      <c r="F1472" s="1187"/>
      <c r="G1472" s="1187"/>
      <c r="H1472" s="1187"/>
      <c r="I1472" s="1187"/>
      <c r="J1472" s="1128"/>
    </row>
    <row r="1473" spans="2:10" x14ac:dyDescent="0.2">
      <c r="B1473" s="1191"/>
      <c r="C1473" s="1192">
        <v>2</v>
      </c>
      <c r="D1473" s="1190" t="s">
        <v>1417</v>
      </c>
      <c r="E1473" s="1188"/>
      <c r="F1473" s="1187"/>
      <c r="G1473" s="1187"/>
      <c r="H1473" s="1187"/>
      <c r="I1473" s="1187"/>
      <c r="J1473" s="1128"/>
    </row>
    <row r="1474" spans="2:10" x14ac:dyDescent="0.2">
      <c r="B1474" s="1191"/>
      <c r="C1474" s="1194"/>
      <c r="D1474" s="1187" t="s">
        <v>1418</v>
      </c>
      <c r="E1474" s="1188"/>
      <c r="F1474" s="1187"/>
      <c r="G1474" s="1187"/>
      <c r="H1474" s="1187"/>
      <c r="I1474" s="1187"/>
      <c r="J1474" s="1128"/>
    </row>
    <row r="1475" spans="2:10" x14ac:dyDescent="0.2">
      <c r="B1475" s="1191"/>
      <c r="C1475" s="1194"/>
      <c r="D1475" s="1187" t="s">
        <v>1419</v>
      </c>
      <c r="E1475" s="1188"/>
      <c r="F1475" s="1187"/>
      <c r="G1475" s="1187"/>
      <c r="H1475" s="1187"/>
      <c r="I1475" s="1187"/>
      <c r="J1475" s="1128"/>
    </row>
    <row r="1476" spans="2:10" x14ac:dyDescent="0.2">
      <c r="B1476" s="1191"/>
      <c r="C1476" s="1192">
        <v>3</v>
      </c>
      <c r="D1476" s="1190" t="s">
        <v>1420</v>
      </c>
      <c r="E1476" s="1188"/>
      <c r="F1476" s="1187"/>
      <c r="G1476" s="1187"/>
      <c r="H1476" s="1187"/>
      <c r="I1476" s="1187"/>
      <c r="J1476" s="1128"/>
    </row>
    <row r="1477" spans="2:10" x14ac:dyDescent="0.2">
      <c r="B1477" s="1191"/>
      <c r="C1477" s="1194"/>
      <c r="D1477" s="1187" t="s">
        <v>1421</v>
      </c>
      <c r="E1477" s="1188"/>
      <c r="F1477" s="1187"/>
      <c r="G1477" s="1187"/>
      <c r="H1477" s="1193" t="s">
        <v>1330</v>
      </c>
      <c r="I1477" s="1187">
        <v>720</v>
      </c>
      <c r="J1477" s="1128"/>
    </row>
    <row r="1478" spans="2:10" x14ac:dyDescent="0.2">
      <c r="B1478" s="1191"/>
      <c r="C1478" s="1194"/>
      <c r="D1478" s="1187" t="s">
        <v>1422</v>
      </c>
      <c r="E1478" s="1188"/>
      <c r="F1478" s="1187"/>
      <c r="G1478" s="1187"/>
      <c r="H1478" s="1193" t="s">
        <v>1330</v>
      </c>
      <c r="I1478" s="1187">
        <v>200</v>
      </c>
      <c r="J1478" s="1128"/>
    </row>
    <row r="1479" spans="2:10" x14ac:dyDescent="0.2">
      <c r="B1479" s="1191"/>
      <c r="C1479" s="1194"/>
      <c r="D1479" s="1187" t="s">
        <v>1423</v>
      </c>
      <c r="E1479" s="1188"/>
      <c r="F1479" s="1187"/>
      <c r="G1479" s="1187"/>
      <c r="H1479" s="1193" t="s">
        <v>1347</v>
      </c>
      <c r="I1479" s="1195">
        <v>3.6</v>
      </c>
      <c r="J1479" s="1128"/>
    </row>
    <row r="1480" spans="2:10" x14ac:dyDescent="0.2">
      <c r="B1480" s="1191"/>
      <c r="C1480" s="1192">
        <v>4</v>
      </c>
      <c r="D1480" s="1190" t="s">
        <v>1424</v>
      </c>
      <c r="E1480" s="1188"/>
      <c r="F1480" s="1187"/>
      <c r="G1480" s="1187"/>
      <c r="H1480" s="1187"/>
      <c r="I1480" s="1187"/>
      <c r="J1480" s="1128"/>
    </row>
    <row r="1481" spans="2:10" x14ac:dyDescent="0.2">
      <c r="B1481" s="1191"/>
      <c r="C1481" s="1194"/>
      <c r="D1481" s="1187" t="s">
        <v>1425</v>
      </c>
      <c r="E1481" s="1188"/>
      <c r="F1481" s="1187"/>
      <c r="G1481" s="1187"/>
      <c r="H1481" s="1187"/>
      <c r="I1481" s="1187"/>
      <c r="J1481" s="1128"/>
    </row>
    <row r="1482" spans="2:10" x14ac:dyDescent="0.2">
      <c r="B1482" s="1191"/>
      <c r="C1482" s="1194"/>
      <c r="D1482" s="1187" t="s">
        <v>1426</v>
      </c>
      <c r="E1482" s="1188"/>
      <c r="F1482" s="1187"/>
      <c r="G1482" s="1187"/>
      <c r="H1482" s="1187"/>
      <c r="I1482" s="1187"/>
      <c r="J1482" s="1128"/>
    </row>
    <row r="1483" spans="2:10" x14ac:dyDescent="0.2">
      <c r="B1483" s="1191"/>
      <c r="C1483" s="1194"/>
      <c r="D1483" s="1187" t="s">
        <v>1427</v>
      </c>
      <c r="E1483" s="1188"/>
      <c r="F1483" s="1187"/>
      <c r="G1483" s="1187"/>
      <c r="H1483" s="1187"/>
      <c r="I1483" s="1187"/>
      <c r="J1483" s="1128"/>
    </row>
    <row r="1484" spans="2:10" x14ac:dyDescent="0.2">
      <c r="B1484" s="1191"/>
      <c r="C1484" s="1194"/>
      <c r="D1484" s="1187" t="s">
        <v>1428</v>
      </c>
      <c r="E1484" s="1188"/>
      <c r="F1484" s="1187"/>
      <c r="G1484" s="1187"/>
      <c r="H1484" s="1187"/>
      <c r="I1484" s="1187"/>
      <c r="J1484" s="1128"/>
    </row>
    <row r="1485" spans="2:10" x14ac:dyDescent="0.2">
      <c r="B1485" s="1191"/>
      <c r="C1485" s="1194"/>
      <c r="D1485" s="1187" t="s">
        <v>1429</v>
      </c>
      <c r="E1485" s="1188"/>
      <c r="F1485" s="1187"/>
      <c r="G1485" s="1187"/>
      <c r="H1485" s="1187"/>
      <c r="I1485" s="1187"/>
      <c r="J1485" s="1128"/>
    </row>
    <row r="1486" spans="2:10" x14ac:dyDescent="0.2">
      <c r="B1486" s="1191"/>
      <c r="C1486" s="1194"/>
      <c r="D1486" s="1187" t="s">
        <v>1430</v>
      </c>
      <c r="E1486" s="1188"/>
      <c r="F1486" s="1187"/>
      <c r="G1486" s="1187"/>
      <c r="H1486" s="1187"/>
      <c r="I1486" s="1187"/>
      <c r="J1486" s="1128"/>
    </row>
    <row r="1487" spans="2:10" x14ac:dyDescent="0.2">
      <c r="B1487" s="1191"/>
      <c r="C1487" s="1194"/>
      <c r="D1487" s="1187" t="s">
        <v>1431</v>
      </c>
      <c r="E1487" s="1188"/>
      <c r="F1487" s="1187"/>
      <c r="G1487" s="1187"/>
      <c r="H1487" s="1187"/>
      <c r="I1487" s="1187"/>
      <c r="J1487" s="1128"/>
    </row>
    <row r="1488" spans="2:10" x14ac:dyDescent="0.2">
      <c r="B1488" s="1191"/>
      <c r="C1488" s="1192">
        <v>5</v>
      </c>
      <c r="D1488" s="1190" t="s">
        <v>1432</v>
      </c>
      <c r="E1488" s="1188"/>
      <c r="F1488" s="1187"/>
      <c r="G1488" s="1187"/>
      <c r="H1488" s="1187"/>
      <c r="I1488" s="1187"/>
      <c r="J1488" s="1128"/>
    </row>
    <row r="1489" spans="2:10" x14ac:dyDescent="0.2">
      <c r="B1489" s="1191"/>
      <c r="C1489" s="1194"/>
      <c r="D1489" s="1187" t="s">
        <v>1433</v>
      </c>
      <c r="E1489" s="1188"/>
      <c r="F1489" s="1187"/>
      <c r="G1489" s="1187"/>
      <c r="H1489" s="1187"/>
      <c r="I1489" s="1187"/>
      <c r="J1489" s="1128"/>
    </row>
    <row r="1490" spans="2:10" x14ac:dyDescent="0.2">
      <c r="B1490" s="1191"/>
      <c r="C1490" s="1194"/>
      <c r="D1490" s="1187" t="s">
        <v>1434</v>
      </c>
      <c r="E1490" s="1188"/>
      <c r="F1490" s="1187"/>
      <c r="G1490" s="1187"/>
      <c r="H1490" s="1187"/>
      <c r="I1490" s="1187"/>
      <c r="J1490" s="1128"/>
    </row>
    <row r="1491" spans="2:10" x14ac:dyDescent="0.2">
      <c r="B1491" s="1191"/>
      <c r="C1491" s="1194"/>
      <c r="D1491" s="1187" t="s">
        <v>1435</v>
      </c>
      <c r="E1491" s="1188"/>
      <c r="F1491" s="1187"/>
      <c r="G1491" s="1187"/>
      <c r="H1491" s="1187"/>
      <c r="I1491" s="1187"/>
      <c r="J1491" s="1128"/>
    </row>
    <row r="1492" spans="2:10" x14ac:dyDescent="0.2">
      <c r="B1492" s="1191"/>
      <c r="C1492" s="1194"/>
      <c r="D1492" s="1187" t="s">
        <v>1436</v>
      </c>
      <c r="E1492" s="1188"/>
      <c r="F1492" s="1187"/>
      <c r="G1492" s="1187"/>
      <c r="H1492" s="1193" t="s">
        <v>1330</v>
      </c>
      <c r="I1492" s="1195">
        <v>1.9</v>
      </c>
      <c r="J1492" s="1128"/>
    </row>
    <row r="1493" spans="2:10" x14ac:dyDescent="0.2">
      <c r="B1493" s="1191"/>
      <c r="C1493" s="1194"/>
      <c r="D1493" s="1187" t="s">
        <v>1437</v>
      </c>
      <c r="E1493" s="1188"/>
      <c r="F1493" s="1187"/>
      <c r="G1493" s="1187"/>
      <c r="H1493" s="1193" t="s">
        <v>1330</v>
      </c>
      <c r="I1493" s="1196">
        <v>4</v>
      </c>
      <c r="J1493" s="1128"/>
    </row>
    <row r="1494" spans="2:10" x14ac:dyDescent="0.2">
      <c r="B1494" s="1191"/>
      <c r="C1494" s="1194"/>
      <c r="D1494" s="1187" t="s">
        <v>1438</v>
      </c>
      <c r="E1494" s="1188"/>
      <c r="F1494" s="1187"/>
      <c r="G1494" s="1187"/>
      <c r="H1494" s="1193" t="s">
        <v>1330</v>
      </c>
      <c r="I1494" s="1128">
        <v>0.25</v>
      </c>
      <c r="J1494" s="1128"/>
    </row>
    <row r="1495" spans="2:10" x14ac:dyDescent="0.2">
      <c r="B1495" s="1191"/>
      <c r="C1495" s="1194"/>
      <c r="D1495" s="1187" t="s">
        <v>1439</v>
      </c>
      <c r="E1495" s="1188"/>
      <c r="F1495" s="1187"/>
      <c r="G1495" s="1187"/>
      <c r="H1495" s="1193" t="s">
        <v>1330</v>
      </c>
      <c r="I1495" s="1187">
        <v>12</v>
      </c>
      <c r="J1495" s="1128"/>
    </row>
    <row r="1496" spans="2:10" x14ac:dyDescent="0.2">
      <c r="B1496" s="1191"/>
      <c r="C1496" s="1194"/>
      <c r="D1496" s="1187" t="s">
        <v>1440</v>
      </c>
      <c r="E1496" s="1188"/>
      <c r="F1496" s="1187"/>
      <c r="G1496" s="1187"/>
      <c r="H1496" s="1187"/>
      <c r="I1496" s="1187"/>
      <c r="J1496" s="1128"/>
    </row>
    <row r="1497" spans="2:10" x14ac:dyDescent="0.2">
      <c r="B1497" s="1191"/>
      <c r="C1497" s="1194"/>
      <c r="D1497" s="1187" t="s">
        <v>1441</v>
      </c>
      <c r="E1497" s="1188"/>
      <c r="F1497" s="1187"/>
      <c r="G1497" s="1187"/>
      <c r="H1497" s="1193" t="s">
        <v>1347</v>
      </c>
      <c r="I1497" s="1187">
        <v>99</v>
      </c>
      <c r="J1497" s="1128"/>
    </row>
    <row r="1498" spans="2:10" x14ac:dyDescent="0.2">
      <c r="B1498" s="1191"/>
      <c r="C1498" s="1194"/>
      <c r="D1498" s="1187" t="s">
        <v>1442</v>
      </c>
      <c r="E1498" s="1188"/>
      <c r="F1498" s="1187"/>
      <c r="G1498" s="1932">
        <v>7.2727272727272725</v>
      </c>
      <c r="H1498" s="1193" t="s">
        <v>1347</v>
      </c>
      <c r="I1498" s="1195">
        <v>7.3</v>
      </c>
      <c r="J1498" s="1128"/>
    </row>
    <row r="1499" spans="2:10" x14ac:dyDescent="0.2">
      <c r="B1499" s="1191"/>
      <c r="C1499" s="1192">
        <v>6</v>
      </c>
      <c r="D1499" s="1190" t="s">
        <v>1443</v>
      </c>
      <c r="E1499" s="1188"/>
      <c r="F1499" s="1187"/>
      <c r="G1499" s="1187"/>
      <c r="H1499" s="1187"/>
      <c r="I1499" s="1187"/>
      <c r="J1499" s="1128"/>
    </row>
    <row r="1500" spans="2:10" x14ac:dyDescent="0.2">
      <c r="B1500" s="1191"/>
      <c r="C1500" s="1194"/>
      <c r="D1500" s="1187" t="s">
        <v>1444</v>
      </c>
      <c r="E1500" s="1188"/>
      <c r="F1500" s="1187"/>
      <c r="G1500" s="1187"/>
      <c r="H1500" s="1187"/>
      <c r="I1500" s="1187"/>
      <c r="J1500" s="1128"/>
    </row>
    <row r="1501" spans="2:10" x14ac:dyDescent="0.2">
      <c r="B1501" s="1191"/>
      <c r="C1501" s="1189" t="s">
        <v>1328</v>
      </c>
      <c r="D1501" s="1193"/>
      <c r="E1501" s="1197" t="s">
        <v>1373</v>
      </c>
      <c r="F1501" s="1187"/>
      <c r="G1501" s="1198" t="s">
        <v>1374</v>
      </c>
      <c r="H1501" s="1199">
        <v>600</v>
      </c>
      <c r="I1501" s="1187" t="s">
        <v>1012</v>
      </c>
      <c r="J1501" s="1128"/>
    </row>
    <row r="1502" spans="2:10" x14ac:dyDescent="0.2">
      <c r="B1502" s="1191"/>
      <c r="C1502" s="1200"/>
      <c r="D1502" s="1201" t="s">
        <v>1375</v>
      </c>
      <c r="E1502" s="1188"/>
      <c r="F1502" s="1187"/>
      <c r="G1502" s="1187"/>
      <c r="H1502" s="1187"/>
      <c r="I1502" s="1187"/>
      <c r="J1502" s="1128"/>
    </row>
    <row r="1503" spans="2:10" x14ac:dyDescent="0.2">
      <c r="B1503" s="1191"/>
      <c r="C1503" s="1200"/>
      <c r="D1503" s="1202" t="s">
        <v>1376</v>
      </c>
      <c r="E1503" s="1203" t="s">
        <v>1377</v>
      </c>
      <c r="F1503" s="1202" t="s">
        <v>1378</v>
      </c>
      <c r="G1503" s="1202" t="s">
        <v>139</v>
      </c>
      <c r="H1503" s="1202" t="s">
        <v>140</v>
      </c>
      <c r="I1503" s="1202" t="s">
        <v>141</v>
      </c>
      <c r="J1503" s="1128"/>
    </row>
    <row r="1504" spans="2:10" x14ac:dyDescent="0.2">
      <c r="B1504" s="1191"/>
      <c r="C1504" s="1200"/>
      <c r="D1504" s="1204"/>
      <c r="E1504" s="1205"/>
      <c r="F1504" s="1204"/>
      <c r="G1504" s="1204"/>
      <c r="H1504" s="1204" t="s">
        <v>1379</v>
      </c>
      <c r="I1504" s="1204" t="s">
        <v>1379</v>
      </c>
      <c r="J1504" s="1128"/>
    </row>
    <row r="1505" spans="2:11" x14ac:dyDescent="0.2">
      <c r="B1505" s="1191"/>
      <c r="C1505" s="1200"/>
      <c r="D1505" s="1202">
        <v>1</v>
      </c>
      <c r="E1505" s="1206" t="s">
        <v>1445</v>
      </c>
      <c r="F1505" s="1202"/>
      <c r="G1505" s="1207">
        <v>0</v>
      </c>
      <c r="H1505" s="1208">
        <v>0</v>
      </c>
      <c r="I1505" s="1207">
        <v>0</v>
      </c>
      <c r="J1505" s="1128"/>
    </row>
    <row r="1506" spans="2:11" x14ac:dyDescent="0.2">
      <c r="B1506" s="1191"/>
      <c r="C1506" s="1200"/>
      <c r="D1506" s="1209"/>
      <c r="E1506" s="1210"/>
      <c r="F1506" s="1204"/>
      <c r="G1506" s="1207">
        <v>0</v>
      </c>
      <c r="H1506" s="1208">
        <v>0</v>
      </c>
      <c r="I1506" s="1207">
        <v>0</v>
      </c>
      <c r="J1506" s="1128"/>
    </row>
    <row r="1507" spans="2:11" ht="25.5" x14ac:dyDescent="0.2">
      <c r="B1507" s="1191"/>
      <c r="C1507" s="1200"/>
      <c r="D1507" s="1211"/>
      <c r="E1507" s="1212" t="s">
        <v>1446</v>
      </c>
      <c r="F1507" s="1213" t="s">
        <v>1012</v>
      </c>
      <c r="G1507" s="1214"/>
      <c r="H1507" s="1215">
        <f>SSR!$E$42/1.13615</f>
        <v>19.363640364388505</v>
      </c>
      <c r="I1507" s="1216">
        <f>+H1501*H1507</f>
        <v>11618.184218633103</v>
      </c>
      <c r="J1507" s="1128"/>
    </row>
    <row r="1508" spans="2:11" x14ac:dyDescent="0.2">
      <c r="B1508" s="1191"/>
      <c r="C1508" s="1200"/>
      <c r="D1508" s="1217"/>
      <c r="E1508" s="1218" t="s">
        <v>1381</v>
      </c>
      <c r="F1508" s="1219"/>
      <c r="G1508" s="1220"/>
      <c r="H1508" s="1221" t="s">
        <v>1382</v>
      </c>
      <c r="I1508" s="1222">
        <f>SUM(I1505:I1507)</f>
        <v>11618.184218633103</v>
      </c>
      <c r="J1508" s="1128"/>
    </row>
    <row r="1509" spans="2:11" x14ac:dyDescent="0.2">
      <c r="B1509" s="1191"/>
      <c r="C1509" s="1200"/>
      <c r="D1509" s="1193"/>
      <c r="E1509" s="1188"/>
      <c r="F1509" s="1187"/>
      <c r="G1509" s="1187"/>
      <c r="H1509" s="1187"/>
      <c r="I1509" s="1187"/>
      <c r="J1509" s="1128"/>
    </row>
    <row r="1510" spans="2:11" x14ac:dyDescent="0.2">
      <c r="B1510" s="1191"/>
      <c r="C1510" s="1200"/>
      <c r="D1510" s="1201" t="s">
        <v>1383</v>
      </c>
      <c r="E1510" s="1188"/>
      <c r="F1510" s="1187"/>
      <c r="G1510" s="1187"/>
      <c r="H1510" s="1187"/>
      <c r="I1510" s="1187"/>
      <c r="J1510" s="1128"/>
    </row>
    <row r="1511" spans="2:11" x14ac:dyDescent="0.2">
      <c r="B1511" s="1191"/>
      <c r="C1511" s="1200"/>
      <c r="D1511" s="1202" t="s">
        <v>1376</v>
      </c>
      <c r="E1511" s="1203" t="s">
        <v>284</v>
      </c>
      <c r="F1511" s="1202" t="s">
        <v>1378</v>
      </c>
      <c r="G1511" s="1202" t="s">
        <v>139</v>
      </c>
      <c r="H1511" s="1202" t="s">
        <v>140</v>
      </c>
      <c r="I1511" s="1202" t="s">
        <v>141</v>
      </c>
      <c r="J1511" s="1128"/>
    </row>
    <row r="1512" spans="2:11" x14ac:dyDescent="0.2">
      <c r="B1512" s="1191"/>
      <c r="C1512" s="1200"/>
      <c r="D1512" s="1204"/>
      <c r="E1512" s="1205"/>
      <c r="F1512" s="1204"/>
      <c r="G1512" s="1204"/>
      <c r="H1512" s="1204" t="s">
        <v>1379</v>
      </c>
      <c r="I1512" s="1204" t="s">
        <v>1379</v>
      </c>
      <c r="J1512" s="1128"/>
    </row>
    <row r="1513" spans="2:11" ht="18" x14ac:dyDescent="0.25">
      <c r="B1513" s="1191"/>
      <c r="C1513" s="1200"/>
      <c r="D1513" s="1202">
        <v>1</v>
      </c>
      <c r="E1513" s="1223" t="s">
        <v>1447</v>
      </c>
      <c r="F1513" s="1202" t="s">
        <v>1213</v>
      </c>
      <c r="G1513" s="1224">
        <v>3.6</v>
      </c>
      <c r="H1513" s="1207">
        <v>1715.5</v>
      </c>
      <c r="I1513" s="1960">
        <f t="shared" ref="I1513:I1521" si="52">+H1513*G1513</f>
        <v>6175.8</v>
      </c>
      <c r="J1513" s="1958"/>
      <c r="K1513" s="155"/>
    </row>
    <row r="1514" spans="2:11" ht="18" x14ac:dyDescent="0.25">
      <c r="B1514" s="1191"/>
      <c r="C1514" s="1200"/>
      <c r="D1514" s="1225"/>
      <c r="E1514" s="1223" t="s">
        <v>1385</v>
      </c>
      <c r="F1514" s="1226" t="s">
        <v>1213</v>
      </c>
      <c r="G1514" s="1224">
        <v>3.6</v>
      </c>
      <c r="H1514" s="1207">
        <v>603.1</v>
      </c>
      <c r="I1514" s="1207">
        <f t="shared" si="52"/>
        <v>2171.1600000000003</v>
      </c>
      <c r="J1514" s="1958"/>
      <c r="K1514" s="155"/>
    </row>
    <row r="1515" spans="2:11" ht="18" x14ac:dyDescent="0.25">
      <c r="B1515" s="1191"/>
      <c r="C1515" s="1200"/>
      <c r="D1515" s="1226">
        <v>2</v>
      </c>
      <c r="E1515" s="1223" t="s">
        <v>1448</v>
      </c>
      <c r="F1515" s="1226" t="s">
        <v>1213</v>
      </c>
      <c r="G1515" s="1224">
        <v>3</v>
      </c>
      <c r="H1515" s="1207">
        <v>10.199999999999999</v>
      </c>
      <c r="I1515" s="1207">
        <f t="shared" si="52"/>
        <v>30.599999999999998</v>
      </c>
      <c r="J1515" s="1958"/>
      <c r="K1515" s="155"/>
    </row>
    <row r="1516" spans="2:11" ht="18" x14ac:dyDescent="0.25">
      <c r="B1516" s="1191"/>
      <c r="C1516" s="1200"/>
      <c r="D1516" s="1225"/>
      <c r="E1516" s="1223" t="s">
        <v>1385</v>
      </c>
      <c r="F1516" s="1226" t="s">
        <v>1213</v>
      </c>
      <c r="G1516" s="1224">
        <v>3</v>
      </c>
      <c r="H1516" s="1207">
        <v>78.400000000000006</v>
      </c>
      <c r="I1516" s="1207">
        <f t="shared" si="52"/>
        <v>235.20000000000002</v>
      </c>
      <c r="J1516" s="1958"/>
      <c r="K1516" s="155"/>
    </row>
    <row r="1517" spans="2:11" ht="18" x14ac:dyDescent="0.25">
      <c r="B1517" s="1191"/>
      <c r="C1517" s="1200"/>
      <c r="D1517" s="1226">
        <v>3</v>
      </c>
      <c r="E1517" s="1223" t="s">
        <v>1449</v>
      </c>
      <c r="F1517" s="1226" t="s">
        <v>1213</v>
      </c>
      <c r="G1517" s="1224">
        <v>5</v>
      </c>
      <c r="H1517" s="1207">
        <v>402.5</v>
      </c>
      <c r="I1517" s="1207">
        <f t="shared" si="52"/>
        <v>2012.5</v>
      </c>
      <c r="J1517" s="1958"/>
      <c r="K1517" s="155"/>
    </row>
    <row r="1518" spans="2:11" ht="18" x14ac:dyDescent="0.25">
      <c r="B1518" s="1191"/>
      <c r="C1518" s="1200"/>
      <c r="D1518" s="1225"/>
      <c r="E1518" s="1223" t="s">
        <v>1385</v>
      </c>
      <c r="F1518" s="1226" t="s">
        <v>1213</v>
      </c>
      <c r="G1518" s="1224">
        <v>5</v>
      </c>
      <c r="H1518" s="1207">
        <v>296.3</v>
      </c>
      <c r="I1518" s="1207">
        <f t="shared" si="52"/>
        <v>1481.5</v>
      </c>
      <c r="J1518" s="1958"/>
      <c r="K1518" s="155"/>
    </row>
    <row r="1519" spans="2:11" ht="26.25" x14ac:dyDescent="0.25">
      <c r="B1519" s="1191"/>
      <c r="C1519" s="1200"/>
      <c r="D1519" s="1226">
        <v>4</v>
      </c>
      <c r="E1519" s="1223" t="s">
        <v>1450</v>
      </c>
      <c r="F1519" s="1226" t="s">
        <v>1213</v>
      </c>
      <c r="G1519" s="1224">
        <v>7.3</v>
      </c>
      <c r="H1519" s="1207">
        <v>1342.2</v>
      </c>
      <c r="I1519" s="1207">
        <f t="shared" si="52"/>
        <v>9798.06</v>
      </c>
      <c r="J1519" s="1958"/>
      <c r="K1519" s="155"/>
    </row>
    <row r="1520" spans="2:11" ht="18" x14ac:dyDescent="0.25">
      <c r="B1520" s="1191"/>
      <c r="C1520" s="1200"/>
      <c r="D1520" s="1225"/>
      <c r="E1520" s="1223" t="s">
        <v>1385</v>
      </c>
      <c r="F1520" s="1226" t="s">
        <v>1213</v>
      </c>
      <c r="G1520" s="1224">
        <v>7.3</v>
      </c>
      <c r="H1520" s="1207">
        <v>1018.9</v>
      </c>
      <c r="I1520" s="1207">
        <f t="shared" si="52"/>
        <v>7437.9699999999993</v>
      </c>
      <c r="J1520" s="1958"/>
      <c r="K1520" s="155"/>
    </row>
    <row r="1521" spans="2:11" ht="18" x14ac:dyDescent="0.25">
      <c r="B1521" s="1191"/>
      <c r="C1521" s="1200"/>
      <c r="D1521" s="1226">
        <v>5</v>
      </c>
      <c r="E1521" s="1223" t="s">
        <v>1318</v>
      </c>
      <c r="F1521" s="1226" t="s">
        <v>581</v>
      </c>
      <c r="G1521" s="1224">
        <v>2</v>
      </c>
      <c r="H1521" s="1207">
        <v>41</v>
      </c>
      <c r="I1521" s="1961">
        <f t="shared" si="52"/>
        <v>82</v>
      </c>
      <c r="J1521" s="1959"/>
      <c r="K1521" s="155"/>
    </row>
    <row r="1522" spans="2:11" ht="25.5" x14ac:dyDescent="0.2">
      <c r="B1522" s="1191"/>
      <c r="C1522" s="1200"/>
      <c r="D1522" s="1217"/>
      <c r="E1522" s="1218" t="s">
        <v>1387</v>
      </c>
      <c r="F1522" s="1219"/>
      <c r="G1522" s="1220"/>
      <c r="H1522" s="1221" t="s">
        <v>1382</v>
      </c>
      <c r="I1522" s="1227">
        <f>SUM(I1513:I1521)</f>
        <v>29424.79</v>
      </c>
      <c r="J1522" s="1128"/>
    </row>
    <row r="1523" spans="2:11" x14ac:dyDescent="0.2">
      <c r="B1523" s="1191"/>
      <c r="C1523" s="1200"/>
      <c r="D1523" s="1193"/>
      <c r="E1523" s="1188"/>
      <c r="F1523" s="1187"/>
      <c r="G1523" s="1187"/>
      <c r="H1523" s="1187"/>
      <c r="I1523" s="1187"/>
      <c r="J1523" s="1128"/>
    </row>
    <row r="1524" spans="2:11" x14ac:dyDescent="0.2">
      <c r="B1524" s="1191"/>
      <c r="C1524" s="1200"/>
      <c r="D1524" s="1201" t="s">
        <v>1388</v>
      </c>
      <c r="E1524" s="1188"/>
      <c r="F1524" s="1187"/>
      <c r="G1524" s="1187"/>
      <c r="H1524" s="1187"/>
      <c r="I1524" s="1187"/>
      <c r="J1524" s="1128"/>
    </row>
    <row r="1525" spans="2:11" x14ac:dyDescent="0.2">
      <c r="B1525" s="1191"/>
      <c r="C1525" s="1200"/>
      <c r="D1525" s="1202" t="s">
        <v>1376</v>
      </c>
      <c r="E1525" s="1203" t="s">
        <v>284</v>
      </c>
      <c r="F1525" s="1202" t="s">
        <v>1378</v>
      </c>
      <c r="G1525" s="1202" t="s">
        <v>139</v>
      </c>
      <c r="H1525" s="1202" t="s">
        <v>140</v>
      </c>
      <c r="I1525" s="1202" t="s">
        <v>141</v>
      </c>
      <c r="J1525" s="1128"/>
    </row>
    <row r="1526" spans="2:11" x14ac:dyDescent="0.2">
      <c r="B1526" s="1191"/>
      <c r="C1526" s="1200"/>
      <c r="D1526" s="1204"/>
      <c r="E1526" s="1205"/>
      <c r="F1526" s="1226"/>
      <c r="G1526" s="1204"/>
      <c r="H1526" s="1204" t="s">
        <v>1379</v>
      </c>
      <c r="I1526" s="1204" t="s">
        <v>1379</v>
      </c>
      <c r="J1526" s="1128"/>
    </row>
    <row r="1527" spans="2:11" x14ac:dyDescent="0.2">
      <c r="B1527" s="1191"/>
      <c r="C1527" s="1200"/>
      <c r="D1527" s="1226">
        <v>1</v>
      </c>
      <c r="E1527" s="1228" t="s">
        <v>1451</v>
      </c>
      <c r="F1527" s="1202" t="s">
        <v>1213</v>
      </c>
      <c r="G1527" s="1229">
        <v>3.6</v>
      </c>
      <c r="H1527" s="1207">
        <v>222.3</v>
      </c>
      <c r="I1527" s="1207">
        <f t="shared" ref="I1527:I1532" si="53">+H1527*G1527</f>
        <v>800.28000000000009</v>
      </c>
      <c r="J1527" s="1128"/>
    </row>
    <row r="1528" spans="2:11" x14ac:dyDescent="0.2">
      <c r="B1528" s="1191"/>
      <c r="C1528" s="1200"/>
      <c r="D1528" s="1226">
        <v>2</v>
      </c>
      <c r="E1528" s="1228" t="s">
        <v>1452</v>
      </c>
      <c r="F1528" s="1226" t="s">
        <v>1213</v>
      </c>
      <c r="G1528" s="1229">
        <v>3</v>
      </c>
      <c r="H1528" s="1207">
        <v>104.8</v>
      </c>
      <c r="I1528" s="1207">
        <f t="shared" si="53"/>
        <v>314.39999999999998</v>
      </c>
      <c r="J1528" s="1128"/>
    </row>
    <row r="1529" spans="2:11" x14ac:dyDescent="0.2">
      <c r="B1529" s="1191"/>
      <c r="C1529" s="1200"/>
      <c r="D1529" s="1226">
        <v>3</v>
      </c>
      <c r="E1529" s="1228" t="s">
        <v>1453</v>
      </c>
      <c r="F1529" s="1226" t="s">
        <v>1213</v>
      </c>
      <c r="G1529" s="1229">
        <v>5</v>
      </c>
      <c r="H1529" s="1207">
        <v>166.7</v>
      </c>
      <c r="I1529" s="1207">
        <f t="shared" si="53"/>
        <v>833.5</v>
      </c>
      <c r="J1529" s="1128"/>
    </row>
    <row r="1530" spans="2:11" x14ac:dyDescent="0.2">
      <c r="B1530" s="1191"/>
      <c r="C1530" s="1200"/>
      <c r="D1530" s="1226">
        <v>4</v>
      </c>
      <c r="E1530" s="1228" t="s">
        <v>1454</v>
      </c>
      <c r="F1530" s="1226" t="s">
        <v>1213</v>
      </c>
      <c r="G1530" s="1229">
        <v>7.3</v>
      </c>
      <c r="H1530" s="1207">
        <v>248</v>
      </c>
      <c r="I1530" s="1207">
        <f t="shared" si="53"/>
        <v>1810.3999999999999</v>
      </c>
      <c r="J1530" s="1128"/>
    </row>
    <row r="1531" spans="2:11" x14ac:dyDescent="0.2">
      <c r="B1531" s="1191"/>
      <c r="C1531" s="1200"/>
      <c r="D1531" s="1226">
        <v>5</v>
      </c>
      <c r="E1531" s="1228" t="s">
        <v>1391</v>
      </c>
      <c r="F1531" s="1226" t="s">
        <v>1392</v>
      </c>
      <c r="G1531" s="1229">
        <v>1</v>
      </c>
      <c r="H1531" s="1207">
        <v>400</v>
      </c>
      <c r="I1531" s="1207">
        <f t="shared" si="53"/>
        <v>400</v>
      </c>
      <c r="J1531" s="1128"/>
    </row>
    <row r="1532" spans="2:11" x14ac:dyDescent="0.2">
      <c r="B1532" s="1191"/>
      <c r="C1532" s="1200"/>
      <c r="D1532" s="1226">
        <v>6</v>
      </c>
      <c r="E1532" s="1228" t="s">
        <v>1455</v>
      </c>
      <c r="F1532" s="1226" t="s">
        <v>1392</v>
      </c>
      <c r="G1532" s="1229">
        <v>4</v>
      </c>
      <c r="H1532" s="1207">
        <v>320</v>
      </c>
      <c r="I1532" s="1207">
        <f t="shared" si="53"/>
        <v>1280</v>
      </c>
      <c r="J1532" s="1128"/>
    </row>
    <row r="1533" spans="2:11" x14ac:dyDescent="0.2">
      <c r="B1533" s="1191"/>
      <c r="C1533" s="1200"/>
      <c r="D1533" s="1217"/>
      <c r="E1533" s="1218" t="s">
        <v>1394</v>
      </c>
      <c r="F1533" s="1219"/>
      <c r="G1533" s="1220"/>
      <c r="H1533" s="1221" t="s">
        <v>1382</v>
      </c>
      <c r="I1533" s="1222">
        <f>SUM(I1527:I1532)</f>
        <v>5438.58</v>
      </c>
      <c r="J1533" s="1128"/>
    </row>
    <row r="1534" spans="2:11" x14ac:dyDescent="0.2">
      <c r="B1534" s="1191"/>
      <c r="C1534" s="1200"/>
      <c r="D1534" s="1174" t="s">
        <v>1395</v>
      </c>
      <c r="E1534" s="1223"/>
      <c r="F1534" s="1230"/>
      <c r="G1534" s="1231">
        <f>+I1533/H1501</f>
        <v>9.0642999999999994</v>
      </c>
      <c r="H1534" s="1187"/>
      <c r="I1534" s="1187"/>
      <c r="J1534" s="1128"/>
    </row>
    <row r="1535" spans="2:11" x14ac:dyDescent="0.2">
      <c r="B1535" s="1191"/>
      <c r="C1535" s="1200"/>
      <c r="D1535" s="129" t="s">
        <v>2102</v>
      </c>
      <c r="E1535" s="1223"/>
      <c r="F1535" s="1945">
        <f>G1544</f>
        <v>0.13614999999999999</v>
      </c>
      <c r="G1535" s="1231">
        <f>+G1534*F1535</f>
        <v>1.2341044449999998</v>
      </c>
      <c r="H1535" s="1187"/>
      <c r="I1535" s="1187"/>
      <c r="J1535" s="1128"/>
    </row>
    <row r="1536" spans="2:11" x14ac:dyDescent="0.2">
      <c r="B1536" s="1191"/>
      <c r="C1536" s="1200"/>
      <c r="D1536" s="1174" t="s">
        <v>2103</v>
      </c>
      <c r="E1536" s="1223"/>
      <c r="F1536" s="1230"/>
      <c r="G1536" s="1232">
        <v>5.4075029800000003</v>
      </c>
      <c r="H1536" s="1187"/>
      <c r="I1536" s="1187"/>
      <c r="J1536" s="1128"/>
    </row>
    <row r="1537" spans="2:10" x14ac:dyDescent="0.2">
      <c r="B1537" s="1191"/>
      <c r="C1537" s="1200"/>
      <c r="D1537" s="1193"/>
      <c r="E1537" s="1188"/>
      <c r="F1537" s="1187"/>
      <c r="G1537" s="1187"/>
      <c r="H1537" s="1187"/>
      <c r="I1537" s="1187"/>
      <c r="J1537" s="1128"/>
    </row>
    <row r="1538" spans="2:10" x14ac:dyDescent="0.2">
      <c r="B1538" s="1191"/>
      <c r="C1538" s="1200"/>
      <c r="D1538" s="1190" t="s">
        <v>1396</v>
      </c>
      <c r="E1538" s="1188"/>
      <c r="F1538" s="1187"/>
      <c r="G1538" s="1187"/>
      <c r="H1538" s="1187"/>
      <c r="I1538" s="1187"/>
      <c r="J1538" s="1128"/>
    </row>
    <row r="1539" spans="2:10" x14ac:dyDescent="0.2">
      <c r="B1539" s="1191"/>
      <c r="C1539" s="1200"/>
      <c r="D1539" s="1187" t="s">
        <v>1456</v>
      </c>
      <c r="E1539" s="1188"/>
      <c r="F1539" s="1187"/>
      <c r="G1539" s="1187"/>
      <c r="H1539" s="1198" t="s">
        <v>1382</v>
      </c>
      <c r="I1539" s="1195">
        <f>+I1508</f>
        <v>11618.184218633103</v>
      </c>
      <c r="J1539" s="1128"/>
    </row>
    <row r="1540" spans="2:10" x14ac:dyDescent="0.2">
      <c r="B1540" s="1191"/>
      <c r="C1540" s="1200"/>
      <c r="D1540" s="1187" t="s">
        <v>1398</v>
      </c>
      <c r="E1540" s="1188"/>
      <c r="F1540" s="1187"/>
      <c r="G1540" s="1187"/>
      <c r="H1540" s="1198" t="s">
        <v>1382</v>
      </c>
      <c r="I1540" s="1195">
        <f>+I1522</f>
        <v>29424.79</v>
      </c>
      <c r="J1540" s="1128"/>
    </row>
    <row r="1541" spans="2:10" x14ac:dyDescent="0.2">
      <c r="B1541" s="1191"/>
      <c r="C1541" s="1200"/>
      <c r="D1541" s="1187" t="s">
        <v>1399</v>
      </c>
      <c r="E1541" s="1188"/>
      <c r="F1541" s="1187"/>
      <c r="G1541" s="1187"/>
      <c r="H1541" s="1198" t="s">
        <v>1382</v>
      </c>
      <c r="I1541" s="1233">
        <f>+I1533</f>
        <v>5438.58</v>
      </c>
      <c r="J1541" s="1128" t="s">
        <v>1400</v>
      </c>
    </row>
    <row r="1542" spans="2:10" x14ac:dyDescent="0.2">
      <c r="B1542" s="1191"/>
      <c r="C1542" s="1200"/>
      <c r="D1542" s="1187"/>
      <c r="E1542" s="129" t="str">
        <f>+IF($I$4=0%,"---","Municipal allowance")</f>
        <v>Municipal allowance</v>
      </c>
      <c r="F1542" s="928">
        <f>$I$4</f>
        <v>0.2</v>
      </c>
      <c r="G1542" s="1128"/>
      <c r="H1542" s="1143"/>
      <c r="I1542" s="1179">
        <f>I1541*F1542</f>
        <v>1087.7160000000001</v>
      </c>
      <c r="J1542" s="1128"/>
    </row>
    <row r="1543" spans="2:10" x14ac:dyDescent="0.2">
      <c r="B1543" s="1191"/>
      <c r="C1543" s="1200"/>
      <c r="D1543" s="1193"/>
      <c r="E1543" s="1188"/>
      <c r="F1543" s="1187"/>
      <c r="G1543" s="1234"/>
      <c r="H1543" s="1198" t="s">
        <v>1457</v>
      </c>
      <c r="I1543" s="1235">
        <f>SUM(I1539:I1542)</f>
        <v>47569.270218633108</v>
      </c>
      <c r="J1543" s="1128"/>
    </row>
    <row r="1544" spans="2:10" x14ac:dyDescent="0.2">
      <c r="B1544" s="1191"/>
      <c r="C1544" s="1200"/>
      <c r="D1544" s="2049" t="s">
        <v>2105</v>
      </c>
      <c r="E1544" s="2049"/>
      <c r="F1544" s="2049"/>
      <c r="G1544" s="1940">
        <f>+$I$5</f>
        <v>0.13614999999999999</v>
      </c>
      <c r="H1544" s="1198" t="s">
        <v>1382</v>
      </c>
      <c r="I1544" s="1233">
        <f>+I1543*G1544</f>
        <v>6476.5561402668973</v>
      </c>
      <c r="J1544" s="1128"/>
    </row>
    <row r="1545" spans="2:10" x14ac:dyDescent="0.2">
      <c r="B1545" s="1191"/>
      <c r="C1545" s="1200"/>
      <c r="D1545" s="1187" t="s">
        <v>1402</v>
      </c>
      <c r="E1545" s="1188"/>
      <c r="F1545" s="1236">
        <v>600</v>
      </c>
      <c r="G1545" s="1236" t="s">
        <v>1012</v>
      </c>
      <c r="H1545" s="1198" t="s">
        <v>1382</v>
      </c>
      <c r="I1545" s="1236">
        <f>SUM(I1543:I1544)</f>
        <v>54045.826358900005</v>
      </c>
      <c r="J1545" s="1128"/>
    </row>
    <row r="1546" spans="2:10" x14ac:dyDescent="0.2">
      <c r="B1546" s="1191"/>
      <c r="C1546" s="1200"/>
      <c r="D1546" s="1237" t="s">
        <v>1403</v>
      </c>
      <c r="E1546" s="1238" t="s">
        <v>1012</v>
      </c>
      <c r="F1546" s="1190" t="s">
        <v>1458</v>
      </c>
      <c r="G1546" s="1187"/>
      <c r="H1546" s="1198" t="s">
        <v>1022</v>
      </c>
      <c r="I1546" s="1170">
        <f>ROUND(I1545/F1545,1)</f>
        <v>90.1</v>
      </c>
      <c r="J1546" s="1128"/>
    </row>
    <row r="1547" spans="2:10" x14ac:dyDescent="0.2">
      <c r="B1547" s="1191"/>
      <c r="C1547" s="1130"/>
      <c r="D1547" s="1132"/>
      <c r="E1547" s="1129"/>
      <c r="F1547" s="1128"/>
      <c r="G1547" s="1128"/>
      <c r="H1547" s="1128"/>
      <c r="I1547" s="1128"/>
      <c r="J1547" s="1128"/>
    </row>
    <row r="1548" spans="2:10" ht="23.25" x14ac:dyDescent="0.2">
      <c r="B1548" s="1191"/>
      <c r="C1548" s="1186" t="s">
        <v>1459</v>
      </c>
      <c r="D1548" s="1187" t="s">
        <v>1460</v>
      </c>
      <c r="E1548" s="1188"/>
      <c r="F1548" s="1187"/>
      <c r="G1548" s="1187"/>
      <c r="H1548" s="1187"/>
      <c r="I1548" s="1187"/>
      <c r="J1548" s="1128"/>
    </row>
    <row r="1549" spans="2:10" x14ac:dyDescent="0.2">
      <c r="B1549" s="2046" t="s">
        <v>1461</v>
      </c>
      <c r="C1549" s="1189"/>
      <c r="D1549" s="1187" t="s">
        <v>1462</v>
      </c>
      <c r="E1549" s="1188"/>
      <c r="F1549" s="1187"/>
      <c r="G1549" s="1187"/>
      <c r="H1549" s="1187"/>
      <c r="I1549" s="1187"/>
      <c r="J1549" s="1128"/>
    </row>
    <row r="1550" spans="2:10" x14ac:dyDescent="0.2">
      <c r="B1550" s="2047"/>
      <c r="C1550" s="1189"/>
      <c r="D1550" s="1187" t="s">
        <v>1463</v>
      </c>
      <c r="E1550" s="1188"/>
      <c r="F1550" s="1187"/>
      <c r="G1550" s="1187"/>
      <c r="H1550" s="1187"/>
      <c r="I1550" s="1187"/>
      <c r="J1550" s="1128"/>
    </row>
    <row r="1551" spans="2:10" x14ac:dyDescent="0.2">
      <c r="B1551" s="2047"/>
      <c r="C1551" s="1189"/>
      <c r="D1551" s="1187" t="s">
        <v>1464</v>
      </c>
      <c r="E1551" s="1188"/>
      <c r="F1551" s="1187"/>
      <c r="G1551" s="1187"/>
      <c r="H1551" s="1187"/>
      <c r="I1551" s="1187"/>
      <c r="J1551" s="1128"/>
    </row>
    <row r="1552" spans="2:10" x14ac:dyDescent="0.2">
      <c r="B1552" s="2048"/>
      <c r="C1552" s="1189"/>
      <c r="D1552" s="1187"/>
      <c r="E1552" s="1188"/>
      <c r="F1552" s="1187"/>
      <c r="G1552" s="1187"/>
      <c r="H1552" s="1187"/>
      <c r="I1552" s="1187"/>
      <c r="J1552" s="1128"/>
    </row>
    <row r="1553" spans="2:10" x14ac:dyDescent="0.2">
      <c r="B1553" s="1191"/>
      <c r="C1553" s="1189" t="s">
        <v>1328</v>
      </c>
      <c r="D1553" s="1239" t="s">
        <v>1329</v>
      </c>
      <c r="E1553" s="1200"/>
      <c r="F1553" s="1187"/>
      <c r="G1553" s="1193" t="s">
        <v>1330</v>
      </c>
      <c r="H1553" s="1187">
        <v>0.5</v>
      </c>
      <c r="I1553" s="1187" t="s">
        <v>1331</v>
      </c>
      <c r="J1553" s="1128"/>
    </row>
    <row r="1554" spans="2:10" x14ac:dyDescent="0.2">
      <c r="B1554" s="1191"/>
      <c r="C1554" s="1192"/>
      <c r="D1554" s="1239" t="s">
        <v>1332</v>
      </c>
      <c r="E1554" s="1200"/>
      <c r="F1554" s="1187"/>
      <c r="G1554" s="1193" t="s">
        <v>1330</v>
      </c>
      <c r="H1554" s="1187">
        <v>0.56999999999999995</v>
      </c>
      <c r="I1554" s="1187" t="s">
        <v>1331</v>
      </c>
      <c r="J1554" s="1128"/>
    </row>
    <row r="1555" spans="2:10" x14ac:dyDescent="0.2">
      <c r="B1555" s="1191"/>
      <c r="C1555" s="1192"/>
      <c r="D1555" s="1239" t="s">
        <v>1334</v>
      </c>
      <c r="E1555" s="1200"/>
      <c r="F1555" s="1187"/>
      <c r="G1555" s="1193" t="s">
        <v>1335</v>
      </c>
      <c r="H1555" s="1187">
        <v>10</v>
      </c>
      <c r="I1555" s="1187" t="s">
        <v>1465</v>
      </c>
      <c r="J1555" s="1128"/>
    </row>
    <row r="1556" spans="2:10" x14ac:dyDescent="0.2">
      <c r="B1556" s="1191"/>
      <c r="C1556" s="1192"/>
      <c r="D1556" s="1239" t="s">
        <v>1342</v>
      </c>
      <c r="E1556" s="1200"/>
      <c r="F1556" s="1187"/>
      <c r="G1556" s="1193" t="s">
        <v>1330</v>
      </c>
      <c r="H1556" s="1187">
        <v>30</v>
      </c>
      <c r="I1556" s="1187" t="s">
        <v>1466</v>
      </c>
      <c r="J1556" s="1128"/>
    </row>
    <row r="1557" spans="2:10" x14ac:dyDescent="0.2">
      <c r="B1557" s="1191"/>
      <c r="C1557" s="1192"/>
      <c r="D1557" s="1240" t="s">
        <v>1467</v>
      </c>
      <c r="E1557" s="1200"/>
      <c r="F1557" s="1187"/>
      <c r="G1557" s="1193" t="s">
        <v>1330</v>
      </c>
      <c r="H1557" s="1187">
        <v>0.5</v>
      </c>
      <c r="I1557" s="1187" t="s">
        <v>1331</v>
      </c>
      <c r="J1557" s="1128"/>
    </row>
    <row r="1558" spans="2:10" x14ac:dyDescent="0.2">
      <c r="B1558" s="1191"/>
      <c r="C1558" s="1192"/>
      <c r="D1558" s="1240" t="s">
        <v>1468</v>
      </c>
      <c r="E1558" s="1200"/>
      <c r="F1558" s="1187"/>
      <c r="G1558" s="1193" t="s">
        <v>1330</v>
      </c>
      <c r="H1558" s="1187">
        <v>50</v>
      </c>
      <c r="I1558" s="1187" t="s">
        <v>1469</v>
      </c>
      <c r="J1558" s="1128"/>
    </row>
    <row r="1559" spans="2:10" x14ac:dyDescent="0.2">
      <c r="B1559" s="1191"/>
      <c r="C1559" s="1192"/>
      <c r="D1559" s="1240" t="s">
        <v>1470</v>
      </c>
      <c r="E1559" s="1200"/>
      <c r="F1559" s="1187"/>
      <c r="G1559" s="1193" t="s">
        <v>1330</v>
      </c>
      <c r="H1559" s="1187">
        <v>400</v>
      </c>
      <c r="I1559" s="1187" t="s">
        <v>1331</v>
      </c>
      <c r="J1559" s="1128"/>
    </row>
    <row r="1560" spans="2:10" x14ac:dyDescent="0.2">
      <c r="B1560" s="1191"/>
      <c r="C1560" s="1192"/>
      <c r="D1560" s="1239" t="s">
        <v>1367</v>
      </c>
      <c r="E1560" s="1200"/>
      <c r="F1560" s="1187"/>
      <c r="G1560" s="1187"/>
      <c r="H1560" s="1187"/>
      <c r="I1560" s="1187"/>
      <c r="J1560" s="1128"/>
    </row>
    <row r="1561" spans="2:10" x14ac:dyDescent="0.2">
      <c r="B1561" s="1191"/>
      <c r="C1561" s="1192"/>
      <c r="D1561" s="1239" t="s">
        <v>1471</v>
      </c>
      <c r="E1561" s="1200"/>
      <c r="F1561" s="1187"/>
      <c r="G1561" s="1187"/>
      <c r="H1561" s="1187"/>
      <c r="I1561" s="1187"/>
      <c r="J1561" s="1128"/>
    </row>
    <row r="1562" spans="2:10" x14ac:dyDescent="0.2">
      <c r="B1562" s="1191"/>
      <c r="C1562" s="1192"/>
      <c r="D1562" s="1239" t="s">
        <v>1472</v>
      </c>
      <c r="E1562" s="1200"/>
      <c r="F1562" s="1187"/>
      <c r="G1562" s="1193" t="s">
        <v>1347</v>
      </c>
      <c r="H1562" s="1187">
        <v>440</v>
      </c>
      <c r="I1562" s="1187" t="s">
        <v>1012</v>
      </c>
      <c r="J1562" s="1128"/>
    </row>
    <row r="1563" spans="2:10" x14ac:dyDescent="0.2">
      <c r="B1563" s="1191"/>
      <c r="C1563" s="1241" t="s">
        <v>1328</v>
      </c>
      <c r="D1563" s="1187" t="s">
        <v>1473</v>
      </c>
      <c r="E1563" s="1188"/>
      <c r="F1563" s="1187"/>
      <c r="G1563" s="1187"/>
      <c r="H1563" s="1187"/>
      <c r="I1563" s="1187"/>
      <c r="J1563" s="1128"/>
    </row>
    <row r="1564" spans="2:10" x14ac:dyDescent="0.2">
      <c r="B1564" s="1191"/>
      <c r="C1564" s="1200"/>
      <c r="D1564" s="1193"/>
      <c r="E1564" s="1188"/>
      <c r="F1564" s="1187"/>
      <c r="G1564" s="1187"/>
      <c r="H1564" s="1187"/>
      <c r="I1564" s="1187"/>
      <c r="J1564" s="1128"/>
    </row>
    <row r="1565" spans="2:10" x14ac:dyDescent="0.2">
      <c r="B1565" s="1191"/>
      <c r="C1565" s="1192"/>
      <c r="D1565" s="1193"/>
      <c r="E1565" s="1197" t="s">
        <v>1373</v>
      </c>
      <c r="F1565" s="1187"/>
      <c r="G1565" s="1198" t="s">
        <v>1374</v>
      </c>
      <c r="H1565" s="1199">
        <v>440</v>
      </c>
      <c r="I1565" s="1187" t="s">
        <v>1012</v>
      </c>
      <c r="J1565" s="1128"/>
    </row>
    <row r="1566" spans="2:10" x14ac:dyDescent="0.2">
      <c r="B1566" s="1191"/>
      <c r="C1566" s="1200"/>
      <c r="D1566" s="1201" t="s">
        <v>1375</v>
      </c>
      <c r="E1566" s="1188"/>
      <c r="F1566" s="1187"/>
      <c r="G1566" s="1187"/>
      <c r="H1566" s="1187"/>
      <c r="I1566" s="1187"/>
      <c r="J1566" s="1128"/>
    </row>
    <row r="1567" spans="2:10" x14ac:dyDescent="0.2">
      <c r="B1567" s="1191"/>
      <c r="C1567" s="1200"/>
      <c r="D1567" s="1202" t="s">
        <v>1376</v>
      </c>
      <c r="E1567" s="1203" t="s">
        <v>1377</v>
      </c>
      <c r="F1567" s="1202" t="s">
        <v>1378</v>
      </c>
      <c r="G1567" s="1202" t="s">
        <v>139</v>
      </c>
      <c r="H1567" s="1202" t="s">
        <v>140</v>
      </c>
      <c r="I1567" s="1202" t="s">
        <v>141</v>
      </c>
      <c r="J1567" s="1128"/>
    </row>
    <row r="1568" spans="2:10" x14ac:dyDescent="0.2">
      <c r="B1568" s="1191"/>
      <c r="C1568" s="1200"/>
      <c r="D1568" s="1204"/>
      <c r="E1568" s="1205"/>
      <c r="F1568" s="1204"/>
      <c r="G1568" s="1204"/>
      <c r="H1568" s="1204" t="s">
        <v>1379</v>
      </c>
      <c r="I1568" s="1204" t="s">
        <v>1379</v>
      </c>
      <c r="J1568" s="1128"/>
    </row>
    <row r="1569" spans="2:10" x14ac:dyDescent="0.2">
      <c r="B1569" s="1191"/>
      <c r="C1569" s="1200"/>
      <c r="D1569" s="1202">
        <v>1</v>
      </c>
      <c r="E1569" s="1206" t="s">
        <v>1380</v>
      </c>
      <c r="F1569" s="1202"/>
      <c r="G1569" s="1207">
        <v>0</v>
      </c>
      <c r="H1569" s="1208">
        <v>0</v>
      </c>
      <c r="I1569" s="1207">
        <v>0</v>
      </c>
      <c r="J1569" s="1128"/>
    </row>
    <row r="1570" spans="2:10" x14ac:dyDescent="0.2">
      <c r="B1570" s="1191"/>
      <c r="C1570" s="1200"/>
      <c r="D1570" s="1209"/>
      <c r="E1570" s="1210"/>
      <c r="F1570" s="1226"/>
      <c r="G1570" s="1207">
        <v>0</v>
      </c>
      <c r="H1570" s="1208">
        <v>0</v>
      </c>
      <c r="I1570" s="1207">
        <v>0</v>
      </c>
      <c r="J1570" s="1128"/>
    </row>
    <row r="1571" spans="2:10" x14ac:dyDescent="0.2">
      <c r="B1571" s="1191"/>
      <c r="C1571" s="1200"/>
      <c r="D1571" s="1217"/>
      <c r="E1571" s="1218" t="s">
        <v>1381</v>
      </c>
      <c r="F1571" s="1219"/>
      <c r="G1571" s="1220"/>
      <c r="H1571" s="1221" t="s">
        <v>1382</v>
      </c>
      <c r="I1571" s="1222">
        <v>0</v>
      </c>
      <c r="J1571" s="1128"/>
    </row>
    <row r="1572" spans="2:10" x14ac:dyDescent="0.2">
      <c r="B1572" s="1191"/>
      <c r="C1572" s="1200"/>
      <c r="D1572" s="1193"/>
      <c r="E1572" s="1188"/>
      <c r="F1572" s="1187"/>
      <c r="G1572" s="1187"/>
      <c r="H1572" s="1187"/>
      <c r="I1572" s="1195"/>
      <c r="J1572" s="1128"/>
    </row>
    <row r="1573" spans="2:10" x14ac:dyDescent="0.2">
      <c r="B1573" s="1191"/>
      <c r="C1573" s="1200"/>
      <c r="D1573" s="1201" t="s">
        <v>1383</v>
      </c>
      <c r="E1573" s="1188"/>
      <c r="F1573" s="1187"/>
      <c r="G1573" s="1187"/>
      <c r="H1573" s="1187"/>
      <c r="I1573" s="1187"/>
      <c r="J1573" s="1128"/>
    </row>
    <row r="1574" spans="2:10" x14ac:dyDescent="0.2">
      <c r="B1574" s="1191"/>
      <c r="C1574" s="1200"/>
      <c r="D1574" s="1202" t="s">
        <v>1376</v>
      </c>
      <c r="E1574" s="1203" t="s">
        <v>284</v>
      </c>
      <c r="F1574" s="1202" t="s">
        <v>1378</v>
      </c>
      <c r="G1574" s="1202" t="s">
        <v>139</v>
      </c>
      <c r="H1574" s="1202" t="s">
        <v>140</v>
      </c>
      <c r="I1574" s="1202" t="s">
        <v>141</v>
      </c>
      <c r="J1574" s="1128"/>
    </row>
    <row r="1575" spans="2:10" x14ac:dyDescent="0.2">
      <c r="B1575" s="1191"/>
      <c r="C1575" s="1200"/>
      <c r="D1575" s="1204"/>
      <c r="E1575" s="1205"/>
      <c r="F1575" s="1204"/>
      <c r="G1575" s="1204"/>
      <c r="H1575" s="1204" t="s">
        <v>1379</v>
      </c>
      <c r="I1575" s="1204" t="s">
        <v>1379</v>
      </c>
      <c r="J1575" s="1128"/>
    </row>
    <row r="1576" spans="2:10" x14ac:dyDescent="0.2">
      <c r="B1576" s="1191"/>
      <c r="C1576" s="1200"/>
      <c r="D1576" s="1202">
        <v>1</v>
      </c>
      <c r="E1576" s="1210" t="s">
        <v>1474</v>
      </c>
      <c r="F1576" s="1202" t="s">
        <v>1213</v>
      </c>
      <c r="G1576" s="1207">
        <v>8</v>
      </c>
      <c r="H1576" s="1207">
        <v>1003.1</v>
      </c>
      <c r="I1576" s="1207">
        <f>+H1576*G1576</f>
        <v>8024.8</v>
      </c>
      <c r="J1576" s="1128"/>
    </row>
    <row r="1577" spans="2:10" x14ac:dyDescent="0.2">
      <c r="B1577" s="1191"/>
      <c r="C1577" s="1200"/>
      <c r="D1577" s="1242"/>
      <c r="E1577" s="1210" t="s">
        <v>1385</v>
      </c>
      <c r="F1577" s="1226" t="s">
        <v>1213</v>
      </c>
      <c r="G1577" s="1207">
        <v>8</v>
      </c>
      <c r="H1577" s="1207">
        <v>470.3</v>
      </c>
      <c r="I1577" s="1207">
        <f>+H1577*G1577</f>
        <v>3762.4</v>
      </c>
      <c r="J1577" s="1128"/>
    </row>
    <row r="1578" spans="2:10" ht="25.5" x14ac:dyDescent="0.2">
      <c r="B1578" s="1191"/>
      <c r="C1578" s="1200"/>
      <c r="D1578" s="1243"/>
      <c r="E1578" s="1244" t="s">
        <v>1387</v>
      </c>
      <c r="F1578" s="1245"/>
      <c r="G1578" s="1246"/>
      <c r="H1578" s="1221" t="s">
        <v>1382</v>
      </c>
      <c r="I1578" s="1222">
        <f>SUM(I1576:I1577)</f>
        <v>11787.2</v>
      </c>
      <c r="J1578" s="1128"/>
    </row>
    <row r="1579" spans="2:10" x14ac:dyDescent="0.2">
      <c r="B1579" s="1191"/>
      <c r="C1579" s="1200"/>
      <c r="D1579" s="1193"/>
      <c r="E1579" s="1188"/>
      <c r="F1579" s="1187"/>
      <c r="G1579" s="1187"/>
      <c r="H1579" s="1187"/>
      <c r="I1579" s="1187"/>
      <c r="J1579" s="1128"/>
    </row>
    <row r="1580" spans="2:10" x14ac:dyDescent="0.2">
      <c r="B1580" s="1191"/>
      <c r="C1580" s="1200"/>
      <c r="D1580" s="1201" t="s">
        <v>1388</v>
      </c>
      <c r="E1580" s="1188"/>
      <c r="F1580" s="1187"/>
      <c r="G1580" s="1187"/>
      <c r="H1580" s="1187"/>
      <c r="I1580" s="1187"/>
      <c r="J1580" s="1128"/>
    </row>
    <row r="1581" spans="2:10" x14ac:dyDescent="0.2">
      <c r="B1581" s="1191"/>
      <c r="C1581" s="1200"/>
      <c r="D1581" s="1202" t="s">
        <v>1376</v>
      </c>
      <c r="E1581" s="1203" t="s">
        <v>284</v>
      </c>
      <c r="F1581" s="1202" t="s">
        <v>1378</v>
      </c>
      <c r="G1581" s="1202" t="s">
        <v>139</v>
      </c>
      <c r="H1581" s="1202" t="s">
        <v>140</v>
      </c>
      <c r="I1581" s="1202" t="s">
        <v>141</v>
      </c>
      <c r="J1581" s="1128"/>
    </row>
    <row r="1582" spans="2:10" x14ac:dyDescent="0.2">
      <c r="B1582" s="1191"/>
      <c r="C1582" s="1200"/>
      <c r="D1582" s="1204"/>
      <c r="E1582" s="1205"/>
      <c r="F1582" s="1226"/>
      <c r="G1582" s="1204"/>
      <c r="H1582" s="1204" t="s">
        <v>1379</v>
      </c>
      <c r="I1582" s="1204" t="s">
        <v>1379</v>
      </c>
      <c r="J1582" s="1128"/>
    </row>
    <row r="1583" spans="2:10" x14ac:dyDescent="0.2">
      <c r="B1583" s="1191"/>
      <c r="C1583" s="1200"/>
      <c r="D1583" s="1226">
        <v>1</v>
      </c>
      <c r="E1583" s="1228" t="s">
        <v>1389</v>
      </c>
      <c r="F1583" s="1202" t="s">
        <v>1213</v>
      </c>
      <c r="G1583" s="1229">
        <v>8</v>
      </c>
      <c r="H1583" s="1173">
        <f>H1527</f>
        <v>222.3</v>
      </c>
      <c r="I1583" s="1207">
        <f>+H1583*G1583</f>
        <v>1778.4</v>
      </c>
      <c r="J1583" s="1128"/>
    </row>
    <row r="1584" spans="2:10" x14ac:dyDescent="0.2">
      <c r="B1584" s="1191"/>
      <c r="C1584" s="1200"/>
      <c r="D1584" s="1226">
        <v>2</v>
      </c>
      <c r="E1584" s="1228" t="s">
        <v>1391</v>
      </c>
      <c r="F1584" s="1226" t="s">
        <v>1392</v>
      </c>
      <c r="G1584" s="1229">
        <v>1</v>
      </c>
      <c r="H1584" s="1173">
        <f>H1531</f>
        <v>400</v>
      </c>
      <c r="I1584" s="1207">
        <f>+H1584*G1584</f>
        <v>400</v>
      </c>
      <c r="J1584" s="1128"/>
    </row>
    <row r="1585" spans="2:10" x14ac:dyDescent="0.2">
      <c r="B1585" s="1191"/>
      <c r="C1585" s="1200"/>
      <c r="D1585" s="1226">
        <v>3</v>
      </c>
      <c r="E1585" s="1228" t="s">
        <v>1393</v>
      </c>
      <c r="F1585" s="1226" t="s">
        <v>1392</v>
      </c>
      <c r="G1585" s="1229">
        <v>17</v>
      </c>
      <c r="H1585" s="1173">
        <f>H1532</f>
        <v>320</v>
      </c>
      <c r="I1585" s="1207">
        <f>+H1585*G1585</f>
        <v>5440</v>
      </c>
      <c r="J1585" s="1128"/>
    </row>
    <row r="1586" spans="2:10" x14ac:dyDescent="0.2">
      <c r="B1586" s="1191"/>
      <c r="C1586" s="1200"/>
      <c r="D1586" s="1217"/>
      <c r="E1586" s="1218" t="s">
        <v>1394</v>
      </c>
      <c r="F1586" s="1219"/>
      <c r="G1586" s="1220"/>
      <c r="H1586" s="1221" t="s">
        <v>1382</v>
      </c>
      <c r="I1586" s="1222">
        <f>SUM(I1583:I1585)</f>
        <v>7618.4</v>
      </c>
      <c r="J1586" s="1128"/>
    </row>
    <row r="1587" spans="2:10" x14ac:dyDescent="0.2">
      <c r="B1587" s="1191"/>
      <c r="C1587" s="1200"/>
      <c r="D1587" s="1174" t="s">
        <v>1395</v>
      </c>
      <c r="E1587" s="1223"/>
      <c r="F1587" s="1230"/>
      <c r="G1587" s="1231">
        <f>+I1586/H1565</f>
        <v>17.314545454545453</v>
      </c>
      <c r="H1587" s="1187"/>
      <c r="I1587" s="1187"/>
      <c r="J1587" s="1128"/>
    </row>
    <row r="1588" spans="2:10" x14ac:dyDescent="0.2">
      <c r="B1588" s="1191"/>
      <c r="C1588" s="1200"/>
      <c r="D1588" s="1174" t="s">
        <v>2104</v>
      </c>
      <c r="E1588" s="1223"/>
      <c r="F1588" s="1940">
        <f>G1597</f>
        <v>0.13614999999999999</v>
      </c>
      <c r="G1588" s="1231">
        <f>+G1587*F1588</f>
        <v>2.3573753636363635</v>
      </c>
      <c r="H1588" s="1187"/>
      <c r="I1588" s="1187"/>
      <c r="J1588" s="1128"/>
    </row>
    <row r="1589" spans="2:10" x14ac:dyDescent="0.2">
      <c r="B1589" s="1191"/>
      <c r="C1589" s="1200"/>
      <c r="D1589" s="1174" t="s">
        <v>2103</v>
      </c>
      <c r="E1589" s="1223"/>
      <c r="F1589" s="1230"/>
      <c r="G1589" s="1232">
        <f>SUM(G1587:G1588)</f>
        <v>19.671920818181817</v>
      </c>
      <c r="H1589" s="1187"/>
      <c r="I1589" s="1187"/>
      <c r="J1589" s="1128"/>
    </row>
    <row r="1590" spans="2:10" x14ac:dyDescent="0.2">
      <c r="B1590" s="1191"/>
      <c r="C1590" s="1200"/>
      <c r="D1590" s="1193"/>
      <c r="E1590" s="1188"/>
      <c r="F1590" s="1187"/>
      <c r="G1590" s="1187"/>
      <c r="H1590" s="1187"/>
      <c r="I1590" s="1187"/>
      <c r="J1590" s="1128"/>
    </row>
    <row r="1591" spans="2:10" x14ac:dyDescent="0.2">
      <c r="B1591" s="1191"/>
      <c r="C1591" s="1200"/>
      <c r="D1591" s="1190" t="s">
        <v>1396</v>
      </c>
      <c r="E1591" s="1188"/>
      <c r="F1591" s="1187"/>
      <c r="G1591" s="1187"/>
      <c r="H1591" s="1187"/>
      <c r="I1591" s="1187"/>
      <c r="J1591" s="1128"/>
    </row>
    <row r="1592" spans="2:10" x14ac:dyDescent="0.2">
      <c r="B1592" s="1191"/>
      <c r="C1592" s="1200"/>
      <c r="D1592" s="1187" t="s">
        <v>1397</v>
      </c>
      <c r="E1592" s="1188"/>
      <c r="F1592" s="1187"/>
      <c r="G1592" s="1187"/>
      <c r="H1592" s="1198" t="s">
        <v>1382</v>
      </c>
      <c r="I1592" s="1195">
        <f>+I1571</f>
        <v>0</v>
      </c>
      <c r="J1592" s="1128"/>
    </row>
    <row r="1593" spans="2:10" x14ac:dyDescent="0.2">
      <c r="B1593" s="1191"/>
      <c r="C1593" s="1200"/>
      <c r="D1593" s="1187" t="s">
        <v>1398</v>
      </c>
      <c r="E1593" s="1188"/>
      <c r="F1593" s="1187"/>
      <c r="G1593" s="1187"/>
      <c r="H1593" s="1198" t="s">
        <v>1382</v>
      </c>
      <c r="I1593" s="1195">
        <f>+I1578</f>
        <v>11787.2</v>
      </c>
      <c r="J1593" s="1128"/>
    </row>
    <row r="1594" spans="2:10" x14ac:dyDescent="0.2">
      <c r="B1594" s="1191"/>
      <c r="C1594" s="1200"/>
      <c r="D1594" s="1187" t="s">
        <v>1399</v>
      </c>
      <c r="E1594" s="1188"/>
      <c r="F1594" s="1187"/>
      <c r="G1594" s="1187"/>
      <c r="H1594" s="1198" t="s">
        <v>1382</v>
      </c>
      <c r="I1594" s="1233">
        <f>+I1586</f>
        <v>7618.4</v>
      </c>
      <c r="J1594" s="1128" t="s">
        <v>1400</v>
      </c>
    </row>
    <row r="1595" spans="2:10" x14ac:dyDescent="0.2">
      <c r="B1595" s="1191"/>
      <c r="C1595" s="1200"/>
      <c r="D1595" s="1187"/>
      <c r="E1595" s="129" t="str">
        <f>+IF($I$4=0%,"---","Municipal allowance")</f>
        <v>Municipal allowance</v>
      </c>
      <c r="F1595" s="928">
        <f>$I$4</f>
        <v>0.2</v>
      </c>
      <c r="G1595" s="1128"/>
      <c r="H1595" s="1143"/>
      <c r="I1595" s="1179">
        <f>I1594*F1595</f>
        <v>1523.68</v>
      </c>
      <c r="J1595" s="1128"/>
    </row>
    <row r="1596" spans="2:10" x14ac:dyDescent="0.2">
      <c r="B1596" s="1191"/>
      <c r="C1596" s="1200"/>
      <c r="D1596" s="1193"/>
      <c r="E1596" s="1188"/>
      <c r="F1596" s="1187"/>
      <c r="G1596" s="1247"/>
      <c r="H1596" s="1198" t="s">
        <v>1457</v>
      </c>
      <c r="I1596" s="1235">
        <f>SUM(I1592:I1595)</f>
        <v>20929.28</v>
      </c>
      <c r="J1596" s="1128"/>
    </row>
    <row r="1597" spans="2:10" x14ac:dyDescent="0.2">
      <c r="B1597" s="1191"/>
      <c r="C1597" s="1200"/>
      <c r="D1597" s="2049" t="s">
        <v>2105</v>
      </c>
      <c r="E1597" s="2049"/>
      <c r="F1597" s="2049"/>
      <c r="G1597" s="1940">
        <f>+$I$5</f>
        <v>0.13614999999999999</v>
      </c>
      <c r="H1597" s="1198" t="s">
        <v>1382</v>
      </c>
      <c r="I1597" s="1230">
        <f>+I1596*G1597</f>
        <v>2849.5214719999999</v>
      </c>
      <c r="J1597" s="1128"/>
    </row>
    <row r="1598" spans="2:10" x14ac:dyDescent="0.2">
      <c r="B1598" s="1191"/>
      <c r="C1598" s="1200"/>
      <c r="D1598" s="1187" t="s">
        <v>1402</v>
      </c>
      <c r="E1598" s="1188"/>
      <c r="F1598" s="1236">
        <v>440</v>
      </c>
      <c r="G1598" s="1190" t="s">
        <v>1012</v>
      </c>
      <c r="H1598" s="1198" t="s">
        <v>1382</v>
      </c>
      <c r="I1598" s="1236">
        <f>SUM(I1596:I1597)</f>
        <v>23778.801471999999</v>
      </c>
      <c r="J1598" s="1128"/>
    </row>
    <row r="1599" spans="2:10" x14ac:dyDescent="0.2">
      <c r="B1599" s="1191"/>
      <c r="C1599" s="1200"/>
      <c r="D1599" s="1237" t="s">
        <v>1403</v>
      </c>
      <c r="E1599" s="1238" t="s">
        <v>1012</v>
      </c>
      <c r="F1599" s="1190" t="s">
        <v>1475</v>
      </c>
      <c r="G1599" s="1187"/>
      <c r="H1599" s="1198" t="s">
        <v>1022</v>
      </c>
      <c r="I1599" s="1170">
        <f>ROUND(I1598/F1598,1)</f>
        <v>54</v>
      </c>
      <c r="J1599" s="1128"/>
    </row>
    <row r="1601" spans="2:11" ht="23.25" x14ac:dyDescent="0.2">
      <c r="B1601" s="2041" t="s">
        <v>1476</v>
      </c>
      <c r="C1601" s="1248" t="s">
        <v>1477</v>
      </c>
      <c r="D1601" s="1128" t="s">
        <v>1478</v>
      </c>
      <c r="E1601" s="1129"/>
      <c r="F1601" s="1128"/>
      <c r="G1601" s="1128"/>
      <c r="H1601" s="1128"/>
      <c r="I1601" s="1128"/>
      <c r="J1601" s="1128"/>
      <c r="K1601" s="1128"/>
    </row>
    <row r="1602" spans="2:11" x14ac:dyDescent="0.2">
      <c r="B1602" s="2042"/>
      <c r="C1602" s="1131"/>
      <c r="D1602" s="1128" t="s">
        <v>1479</v>
      </c>
      <c r="E1602" s="1129"/>
      <c r="F1602" s="1128"/>
      <c r="G1602" s="1128"/>
      <c r="H1602" s="1128"/>
      <c r="I1602" s="1128"/>
      <c r="J1602" s="1128"/>
      <c r="K1602" s="1128"/>
    </row>
    <row r="1603" spans="2:11" x14ac:dyDescent="0.2">
      <c r="B1603" s="2042"/>
      <c r="C1603" s="1131"/>
      <c r="D1603" s="1128" t="s">
        <v>1480</v>
      </c>
      <c r="E1603" s="1129"/>
      <c r="F1603" s="1128"/>
      <c r="G1603" s="1128"/>
      <c r="H1603" s="1128"/>
      <c r="I1603" s="1128"/>
      <c r="J1603" s="1128"/>
      <c r="K1603" s="1128"/>
    </row>
    <row r="1604" spans="2:11" x14ac:dyDescent="0.2">
      <c r="B1604" s="2043"/>
      <c r="C1604" s="1131"/>
      <c r="D1604" s="1128" t="s">
        <v>1481</v>
      </c>
      <c r="E1604" s="1129"/>
      <c r="F1604" s="1128"/>
      <c r="G1604" s="1128"/>
      <c r="H1604" s="1128"/>
      <c r="I1604" s="1128"/>
      <c r="J1604" s="1128"/>
      <c r="K1604" s="1128"/>
    </row>
    <row r="1605" spans="2:11" x14ac:dyDescent="0.2">
      <c r="B1605" s="1249"/>
      <c r="C1605" s="1131"/>
      <c r="D1605" s="1178" t="s">
        <v>1482</v>
      </c>
      <c r="E1605" s="1129"/>
      <c r="F1605" s="1128"/>
      <c r="G1605" s="1128"/>
      <c r="H1605" s="1128"/>
      <c r="I1605" s="1128"/>
      <c r="J1605" s="1128"/>
      <c r="K1605" s="1128"/>
    </row>
    <row r="1606" spans="2:11" x14ac:dyDescent="0.2">
      <c r="B1606" s="1249"/>
      <c r="C1606" s="1130"/>
      <c r="D1606" s="1128" t="s">
        <v>1483</v>
      </c>
      <c r="E1606" s="1129"/>
      <c r="F1606" s="1128"/>
      <c r="G1606" s="1128"/>
      <c r="H1606" s="1128"/>
      <c r="I1606" s="1128"/>
      <c r="J1606" s="1128"/>
      <c r="K1606" s="1128"/>
    </row>
    <row r="1607" spans="2:11" x14ac:dyDescent="0.2">
      <c r="B1607" s="1249"/>
      <c r="C1607" s="1130"/>
      <c r="D1607" s="1128"/>
      <c r="E1607" s="1129"/>
      <c r="F1607" s="1128"/>
      <c r="G1607" s="1128"/>
      <c r="H1607" s="1128"/>
      <c r="I1607" s="1128"/>
      <c r="J1607" s="1128"/>
      <c r="K1607" s="1128"/>
    </row>
    <row r="1608" spans="2:11" x14ac:dyDescent="0.2">
      <c r="B1608" s="1191"/>
      <c r="C1608" s="1131" t="s">
        <v>1328</v>
      </c>
      <c r="D1608" s="1128" t="s">
        <v>1329</v>
      </c>
      <c r="E1608" s="1129"/>
      <c r="F1608" s="1128"/>
      <c r="G1608" s="1128"/>
      <c r="H1608" s="1132" t="s">
        <v>1330</v>
      </c>
      <c r="I1608" s="1134">
        <v>0.5</v>
      </c>
      <c r="J1608" s="1128" t="s">
        <v>1331</v>
      </c>
      <c r="K1608" s="1174"/>
    </row>
    <row r="1609" spans="2:11" x14ac:dyDescent="0.2">
      <c r="B1609" s="1191"/>
      <c r="C1609" s="1130"/>
      <c r="D1609" s="1128" t="s">
        <v>1332</v>
      </c>
      <c r="E1609" s="1129"/>
      <c r="F1609" s="1128"/>
      <c r="G1609" s="1128"/>
      <c r="H1609" s="1132" t="s">
        <v>1330</v>
      </c>
      <c r="I1609" s="1128">
        <v>0.57999999999999996</v>
      </c>
      <c r="J1609" s="1128" t="s">
        <v>1331</v>
      </c>
      <c r="K1609" s="1174"/>
    </row>
    <row r="1610" spans="2:11" x14ac:dyDescent="0.2">
      <c r="B1610" s="1191"/>
      <c r="C1610" s="1130"/>
      <c r="D1610" s="1128" t="s">
        <v>1333</v>
      </c>
      <c r="E1610" s="1129"/>
      <c r="F1610" s="1128"/>
      <c r="G1610" s="1128"/>
      <c r="H1610" s="1132" t="s">
        <v>1330</v>
      </c>
      <c r="I1610" s="1134">
        <v>5</v>
      </c>
      <c r="J1610" s="1128" t="s">
        <v>1331</v>
      </c>
      <c r="K1610" s="1174"/>
    </row>
    <row r="1611" spans="2:11" x14ac:dyDescent="0.2">
      <c r="B1611" s="1191"/>
      <c r="C1611" s="1130"/>
      <c r="D1611" s="1250" t="s">
        <v>1484</v>
      </c>
      <c r="E1611" s="1251"/>
      <c r="F1611" s="1128"/>
      <c r="G1611" s="1128"/>
      <c r="H1611" s="1132" t="s">
        <v>1335</v>
      </c>
      <c r="I1611" s="1252">
        <v>5</v>
      </c>
      <c r="J1611" s="1128" t="s">
        <v>1485</v>
      </c>
      <c r="K1611" s="1174"/>
    </row>
    <row r="1612" spans="2:11" x14ac:dyDescent="0.2">
      <c r="B1612" s="1191"/>
      <c r="C1612" s="1130"/>
      <c r="D1612" s="1128" t="s">
        <v>1486</v>
      </c>
      <c r="E1612" s="1129"/>
      <c r="F1612" s="1128"/>
      <c r="G1612" s="1128"/>
      <c r="H1612" s="1132" t="s">
        <v>1330</v>
      </c>
      <c r="I1612" s="1128">
        <v>12</v>
      </c>
      <c r="J1612" s="1128" t="s">
        <v>1487</v>
      </c>
      <c r="K1612" s="1174"/>
    </row>
    <row r="1613" spans="2:11" x14ac:dyDescent="0.2">
      <c r="B1613" s="1191"/>
      <c r="C1613" s="1130"/>
      <c r="D1613" s="1128" t="s">
        <v>1488</v>
      </c>
      <c r="E1613" s="1129"/>
      <c r="F1613" s="1128"/>
      <c r="G1613" s="1128"/>
      <c r="H1613" s="1132" t="s">
        <v>1330</v>
      </c>
      <c r="I1613" s="1128">
        <v>15</v>
      </c>
      <c r="J1613" s="1128" t="s">
        <v>1338</v>
      </c>
      <c r="K1613" s="1174"/>
    </row>
    <row r="1614" spans="2:11" x14ac:dyDescent="0.2">
      <c r="B1614" s="1191"/>
      <c r="C1614" s="1130"/>
      <c r="D1614" s="1128" t="s">
        <v>1340</v>
      </c>
      <c r="E1614" s="1129"/>
      <c r="F1614" s="1128"/>
      <c r="G1614" s="1128"/>
      <c r="H1614" s="1132" t="s">
        <v>1330</v>
      </c>
      <c r="I1614" s="1134">
        <v>2</v>
      </c>
      <c r="J1614" s="1128" t="s">
        <v>1341</v>
      </c>
      <c r="K1614" s="1174"/>
    </row>
    <row r="1615" spans="2:11" x14ac:dyDescent="0.2">
      <c r="B1615" s="1191"/>
      <c r="C1615" s="1130"/>
      <c r="D1615" s="1128" t="s">
        <v>1342</v>
      </c>
      <c r="E1615" s="1129"/>
      <c r="F1615" s="1128"/>
      <c r="G1615" s="1128"/>
      <c r="H1615" s="1132" t="s">
        <v>1330</v>
      </c>
      <c r="I1615" s="1128">
        <v>20</v>
      </c>
      <c r="J1615" s="1128" t="s">
        <v>1466</v>
      </c>
      <c r="K1615" s="1174"/>
    </row>
    <row r="1616" spans="2:11" x14ac:dyDescent="0.2">
      <c r="B1616" s="1191"/>
      <c r="C1616" s="1130"/>
      <c r="D1616" s="1128" t="s">
        <v>1489</v>
      </c>
      <c r="E1616" s="1129"/>
      <c r="F1616" s="1128"/>
      <c r="G1616" s="1128"/>
      <c r="H1616" s="1132" t="s">
        <v>1330</v>
      </c>
      <c r="I1616" s="1134">
        <v>0.5</v>
      </c>
      <c r="J1616" s="1128" t="s">
        <v>1331</v>
      </c>
      <c r="K1616" s="1174"/>
    </row>
    <row r="1617" spans="2:11" x14ac:dyDescent="0.2">
      <c r="B1617" s="1191"/>
      <c r="C1617" s="1130"/>
      <c r="D1617" s="1128" t="s">
        <v>1490</v>
      </c>
      <c r="E1617" s="1129"/>
      <c r="F1617" s="1128"/>
      <c r="G1617" s="1128"/>
      <c r="H1617" s="1132" t="s">
        <v>1330</v>
      </c>
      <c r="I1617" s="1134">
        <v>4</v>
      </c>
      <c r="J1617" s="1128" t="s">
        <v>1331</v>
      </c>
      <c r="K1617" s="1174"/>
    </row>
    <row r="1618" spans="2:11" x14ac:dyDescent="0.2">
      <c r="B1618" s="1191"/>
      <c r="C1618" s="1130"/>
      <c r="D1618" s="1128" t="s">
        <v>1491</v>
      </c>
      <c r="E1618" s="1129"/>
      <c r="F1618" s="1128"/>
      <c r="G1618" s="1128"/>
      <c r="H1618" s="1132" t="s">
        <v>1347</v>
      </c>
      <c r="I1618" s="1128">
        <v>8</v>
      </c>
      <c r="J1618" s="1128" t="s">
        <v>1348</v>
      </c>
      <c r="K1618" s="1174"/>
    </row>
    <row r="1619" spans="2:11" x14ac:dyDescent="0.2">
      <c r="B1619" s="1191"/>
      <c r="C1619" s="1130"/>
      <c r="D1619" s="1128" t="s">
        <v>1492</v>
      </c>
      <c r="E1619" s="1129"/>
      <c r="F1619" s="1128"/>
      <c r="G1619" s="1128"/>
      <c r="H1619" s="1132" t="s">
        <v>1347</v>
      </c>
      <c r="I1619" s="1134">
        <v>2.67</v>
      </c>
      <c r="J1619" s="1128" t="s">
        <v>1341</v>
      </c>
      <c r="K1619" s="1174"/>
    </row>
    <row r="1620" spans="2:11" x14ac:dyDescent="0.2">
      <c r="B1620" s="1191"/>
      <c r="C1620" s="1130"/>
      <c r="D1620" s="1178" t="s">
        <v>1493</v>
      </c>
      <c r="E1620" s="1129"/>
      <c r="F1620" s="1128"/>
      <c r="G1620" s="1128"/>
      <c r="H1620" s="1132" t="s">
        <v>1330</v>
      </c>
      <c r="I1620" s="1128"/>
      <c r="J1620" s="1128"/>
      <c r="K1620" s="1174"/>
    </row>
    <row r="1621" spans="2:11" x14ac:dyDescent="0.2">
      <c r="B1621" s="1191"/>
      <c r="C1621" s="1130"/>
      <c r="D1621" s="1128" t="s">
        <v>1357</v>
      </c>
      <c r="E1621" s="1129"/>
      <c r="F1621" s="1128"/>
      <c r="G1621" s="1128"/>
      <c r="H1621" s="1132" t="s">
        <v>1330</v>
      </c>
      <c r="I1621" s="1134">
        <v>2.67</v>
      </c>
      <c r="J1621" s="1128" t="s">
        <v>1341</v>
      </c>
      <c r="K1621" s="1174"/>
    </row>
    <row r="1622" spans="2:11" x14ac:dyDescent="0.2">
      <c r="B1622" s="1191"/>
      <c r="C1622" s="1130"/>
      <c r="D1622" s="1250" t="str">
        <f>+CONCATENATE("Time for 1km haulage under load ( 60 / 12 ) x ",I1611," Km")</f>
        <v>Time for 1km haulage under load ( 60 / 12 ) x 5 Km</v>
      </c>
      <c r="E1622" s="1251"/>
      <c r="F1622" s="1253">
        <f>+(60/I1612)*I1611</f>
        <v>25</v>
      </c>
      <c r="G1622" s="1128"/>
      <c r="H1622" s="1132" t="s">
        <v>1330</v>
      </c>
      <c r="I1622" s="1254">
        <f>+F1622</f>
        <v>25</v>
      </c>
      <c r="J1622" s="1128" t="s">
        <v>1341</v>
      </c>
      <c r="K1622" s="1174"/>
    </row>
    <row r="1623" spans="2:11" x14ac:dyDescent="0.2">
      <c r="B1623" s="1191"/>
      <c r="C1623" s="1130"/>
      <c r="D1623" s="1128" t="s">
        <v>1359</v>
      </c>
      <c r="E1623" s="1129"/>
      <c r="F1623" s="1128"/>
      <c r="G1623" s="1128"/>
      <c r="H1623" s="1132" t="s">
        <v>1330</v>
      </c>
      <c r="I1623" s="1134">
        <v>2</v>
      </c>
      <c r="J1623" s="1128" t="s">
        <v>1341</v>
      </c>
      <c r="K1623" s="1174"/>
    </row>
    <row r="1624" spans="2:11" x14ac:dyDescent="0.2">
      <c r="B1624" s="1191"/>
      <c r="C1624" s="1130"/>
      <c r="D1624" s="1250" t="str">
        <f>+CONCATENATE("Time for 1 km return trip ( 60 / 15 ) x ",I1611, " Km")</f>
        <v>Time for 1 km return trip ( 60 / 15 ) x 5 Km</v>
      </c>
      <c r="E1624" s="1251"/>
      <c r="F1624" s="1253">
        <f>(60/I1613)*I1611</f>
        <v>20</v>
      </c>
      <c r="G1624" s="1128"/>
      <c r="H1624" s="1132" t="s">
        <v>1330</v>
      </c>
      <c r="I1624" s="1254">
        <f>+F1624</f>
        <v>20</v>
      </c>
      <c r="J1624" s="1128" t="s">
        <v>1341</v>
      </c>
      <c r="K1624" s="1174"/>
    </row>
    <row r="1625" spans="2:11" x14ac:dyDescent="0.2">
      <c r="B1625" s="1191"/>
      <c r="C1625" s="1130"/>
      <c r="D1625" s="1128" t="s">
        <v>1494</v>
      </c>
      <c r="E1625" s="1129"/>
      <c r="F1625" s="1128"/>
      <c r="G1625" s="1128"/>
      <c r="H1625" s="1132" t="s">
        <v>1330</v>
      </c>
      <c r="I1625" s="1255">
        <v>0.5</v>
      </c>
      <c r="J1625" s="1128" t="s">
        <v>1341</v>
      </c>
      <c r="K1625" s="1174"/>
    </row>
    <row r="1626" spans="2:11" x14ac:dyDescent="0.2">
      <c r="B1626" s="1191"/>
      <c r="C1626" s="1130"/>
      <c r="D1626" s="1128"/>
      <c r="E1626" s="1129"/>
      <c r="F1626" s="1128"/>
      <c r="G1626" s="1128"/>
      <c r="H1626" s="1132" t="s">
        <v>1330</v>
      </c>
      <c r="I1626" s="1256">
        <f>SUM(I1621:I1625)</f>
        <v>50.17</v>
      </c>
      <c r="J1626" s="1128" t="s">
        <v>1341</v>
      </c>
      <c r="K1626" s="1174"/>
    </row>
    <row r="1627" spans="2:11" x14ac:dyDescent="0.2">
      <c r="B1627" s="1191"/>
      <c r="C1627" s="1130"/>
      <c r="D1627" s="1128" t="s">
        <v>1495</v>
      </c>
      <c r="E1627" s="1129"/>
      <c r="F1627" s="1134">
        <f>+I1626</f>
        <v>50.17</v>
      </c>
      <c r="G1627" s="1257">
        <f>+I1619</f>
        <v>2.67</v>
      </c>
      <c r="H1627" s="1132">
        <f>+ROUNDUP(I1626/I1619,0)</f>
        <v>19</v>
      </c>
      <c r="I1627" s="1128">
        <f>+H1627</f>
        <v>19</v>
      </c>
      <c r="J1627" s="1128" t="s">
        <v>1364</v>
      </c>
      <c r="K1627" s="1174"/>
    </row>
    <row r="1628" spans="2:11" x14ac:dyDescent="0.2">
      <c r="B1628" s="1191"/>
      <c r="C1628" s="1130"/>
      <c r="D1628" s="1128" t="str">
        <f>+CONCATENATE("Output of tipper / hr with 50 min working / hr ( 50 x 4.00 / ",I1626," ) :")</f>
        <v>Output of tipper / hr with 50 min working / hr ( 50 x 4.00 / 50.17 ) :</v>
      </c>
      <c r="E1628" s="1129"/>
      <c r="F1628" s="1128"/>
      <c r="G1628" s="1128"/>
      <c r="H1628" s="1132">
        <f>+ROUND((I1617/I1626)*50,1)</f>
        <v>4</v>
      </c>
      <c r="I1628" s="1134">
        <f>+H1628</f>
        <v>4</v>
      </c>
      <c r="J1628" s="1128" t="s">
        <v>1331</v>
      </c>
      <c r="K1628" s="1174"/>
    </row>
    <row r="1629" spans="2:11" x14ac:dyDescent="0.2">
      <c r="B1629" s="1191"/>
      <c r="C1629" s="1130"/>
      <c r="D1629" s="1128" t="str">
        <f>+CONCATENATE("Output for ",I1627," tippers per day (",I1627," x ",I1628," x 8)" )</f>
        <v>Output for 19 tippers per day (19 x 4 x 8)</v>
      </c>
      <c r="E1629" s="1129"/>
      <c r="F1629" s="1250">
        <f>8*I1628*I1627</f>
        <v>608</v>
      </c>
      <c r="G1629" s="1128"/>
      <c r="H1629" s="1132" t="s">
        <v>1347</v>
      </c>
      <c r="I1629" s="1250">
        <f>+F1629</f>
        <v>608</v>
      </c>
      <c r="J1629" s="1128" t="s">
        <v>1331</v>
      </c>
      <c r="K1629" s="1174"/>
    </row>
    <row r="1630" spans="2:11" x14ac:dyDescent="0.2">
      <c r="B1630" s="1191"/>
      <c r="C1630" s="1130">
        <v>1</v>
      </c>
      <c r="D1630" s="1178" t="s">
        <v>1415</v>
      </c>
      <c r="E1630" s="1129"/>
      <c r="F1630" s="1128"/>
      <c r="G1630" s="1128"/>
      <c r="H1630" s="1128"/>
      <c r="I1630" s="1128"/>
      <c r="J1630" s="1128"/>
      <c r="K1630" s="1128"/>
    </row>
    <row r="1631" spans="2:11" x14ac:dyDescent="0.2">
      <c r="B1631" s="1191"/>
      <c r="C1631" s="1258"/>
      <c r="D1631" s="1128" t="s">
        <v>1496</v>
      </c>
      <c r="E1631" s="1129"/>
      <c r="F1631" s="1128"/>
      <c r="G1631" s="1128"/>
      <c r="H1631" s="1128"/>
      <c r="I1631" s="1128"/>
      <c r="J1631" s="1128"/>
      <c r="K1631" s="1128"/>
    </row>
    <row r="1632" spans="2:11" x14ac:dyDescent="0.2">
      <c r="B1632" s="1191"/>
      <c r="C1632" s="1258"/>
      <c r="D1632" s="1128" t="str">
        <f>+CONCATENATE("Area to be stripped assuming 1.5 m depth of cut (",I1629," x ",I1627," / 1.5 ) :")</f>
        <v>Area to be stripped assuming 1.5 m depth of cut (608 x 19 / 1.5 ) :</v>
      </c>
      <c r="E1632" s="1129"/>
      <c r="F1632" s="1128"/>
      <c r="G1632" s="1128"/>
      <c r="H1632" s="1253">
        <f>+(I1629*I1627/1.5)</f>
        <v>7701.333333333333</v>
      </c>
      <c r="I1632" s="1128">
        <f>+H1632</f>
        <v>7701.333333333333</v>
      </c>
      <c r="J1632" s="1128" t="s">
        <v>1497</v>
      </c>
      <c r="K1632" s="1128"/>
    </row>
    <row r="1633" spans="2:11" x14ac:dyDescent="0.2">
      <c r="B1633" s="1191"/>
      <c r="C1633" s="1258"/>
      <c r="D1633" s="1128" t="s">
        <v>1498</v>
      </c>
      <c r="E1633" s="1129"/>
      <c r="F1633" s="1128"/>
      <c r="G1633" s="1128"/>
      <c r="H1633" s="1132" t="s">
        <v>1330</v>
      </c>
      <c r="I1633" s="1128">
        <v>0.2</v>
      </c>
      <c r="J1633" s="1128" t="s">
        <v>1465</v>
      </c>
      <c r="K1633" s="1128"/>
    </row>
    <row r="1634" spans="2:11" x14ac:dyDescent="0.2">
      <c r="B1634" s="1191"/>
      <c r="C1634" s="1258"/>
      <c r="D1634" s="1128" t="str">
        <f>+CONCATENATE("Qty of stripping with 5 % extra area ( ",I1632,"x1.05x",I1633," )")</f>
        <v>Qty of stripping with 5 % extra area ( 7701.33333333333x1.05x0.2 )</v>
      </c>
      <c r="E1634" s="1129"/>
      <c r="F1634" s="1128"/>
      <c r="G1634" s="1128"/>
      <c r="H1634" s="1132" t="s">
        <v>1330</v>
      </c>
      <c r="I1634" s="1128">
        <f>+ROUNDUP(I1632*1.05*I1633,1)</f>
        <v>1617.3</v>
      </c>
      <c r="J1634" s="1128" t="s">
        <v>1331</v>
      </c>
      <c r="K1634" s="1128"/>
    </row>
    <row r="1635" spans="2:11" x14ac:dyDescent="0.2">
      <c r="B1635" s="1191"/>
      <c r="C1635" s="1258"/>
      <c r="D1635" s="1128" t="s">
        <v>1499</v>
      </c>
      <c r="E1635" s="1129"/>
      <c r="F1635" s="1128"/>
      <c r="G1635" s="1128"/>
      <c r="H1635" s="1132" t="s">
        <v>1330</v>
      </c>
      <c r="I1635" s="1128">
        <v>70</v>
      </c>
      <c r="J1635" s="1128" t="s">
        <v>1331</v>
      </c>
      <c r="K1635" s="1128"/>
    </row>
    <row r="1636" spans="2:11" x14ac:dyDescent="0.2">
      <c r="B1636" s="1191"/>
      <c r="C1636" s="1258"/>
      <c r="D1636" s="1128" t="str">
        <f>+CONCATENATE("Time required for stripping  ",I1634," cum")</f>
        <v>Time required for stripping  1617.3 cum</v>
      </c>
      <c r="E1636" s="1129"/>
      <c r="F1636" s="1128"/>
      <c r="G1636" s="1128"/>
      <c r="H1636" s="1132" t="s">
        <v>1330</v>
      </c>
      <c r="I1636" s="1259">
        <f>+ROUND(I1634/I1635,1)</f>
        <v>23.1</v>
      </c>
      <c r="J1636" s="1128" t="s">
        <v>1500</v>
      </c>
      <c r="K1636" s="1128"/>
    </row>
    <row r="1637" spans="2:11" x14ac:dyDescent="0.2">
      <c r="B1637" s="1191"/>
      <c r="C1637" s="1258"/>
      <c r="D1637" s="1128" t="s">
        <v>1501</v>
      </c>
      <c r="E1637" s="1129"/>
      <c r="F1637" s="1128"/>
      <c r="G1637" s="1128"/>
      <c r="H1637" s="1132"/>
      <c r="I1637" s="1128"/>
      <c r="J1637" s="1128"/>
      <c r="K1637" s="1128"/>
    </row>
    <row r="1638" spans="2:11" x14ac:dyDescent="0.2">
      <c r="B1638" s="1191"/>
      <c r="C1638" s="1258"/>
      <c r="D1638" s="1128" t="s">
        <v>1502</v>
      </c>
      <c r="E1638" s="1129"/>
      <c r="F1638" s="1128"/>
      <c r="G1638" s="1128"/>
      <c r="H1638" s="1132">
        <f>I1636/6</f>
        <v>3.85</v>
      </c>
      <c r="I1638" s="1134">
        <v>2</v>
      </c>
      <c r="J1638" s="1128" t="s">
        <v>1500</v>
      </c>
      <c r="K1638" s="1128" t="s">
        <v>1503</v>
      </c>
    </row>
    <row r="1639" spans="2:11" x14ac:dyDescent="0.2">
      <c r="B1639" s="1191"/>
      <c r="C1639" s="1130">
        <v>2</v>
      </c>
      <c r="D1639" s="1178" t="s">
        <v>1417</v>
      </c>
      <c r="E1639" s="1129"/>
      <c r="F1639" s="1128"/>
      <c r="G1639" s="1128"/>
      <c r="H1639" s="1128"/>
      <c r="I1639" s="1128"/>
      <c r="J1639" s="1128"/>
      <c r="K1639" s="1128"/>
    </row>
    <row r="1640" spans="2:11" x14ac:dyDescent="0.2">
      <c r="B1640" s="1191"/>
      <c r="C1640" s="1258"/>
      <c r="D1640" s="1128" t="s">
        <v>1504</v>
      </c>
      <c r="E1640" s="1129"/>
      <c r="F1640" s="1128"/>
      <c r="G1640" s="1128"/>
      <c r="H1640" s="1128"/>
      <c r="I1640" s="1128"/>
      <c r="J1640" s="1128"/>
      <c r="K1640" s="1128"/>
    </row>
    <row r="1641" spans="2:11" x14ac:dyDescent="0.2">
      <c r="B1641" s="1191"/>
      <c r="C1641" s="1258"/>
      <c r="D1641" s="1128" t="s">
        <v>1505</v>
      </c>
      <c r="E1641" s="1129"/>
      <c r="F1641" s="1128"/>
      <c r="G1641" s="1128"/>
      <c r="H1641" s="1128"/>
      <c r="I1641" s="1128"/>
      <c r="J1641" s="1128"/>
      <c r="K1641" s="1128"/>
    </row>
    <row r="1642" spans="2:11" x14ac:dyDescent="0.2">
      <c r="B1642" s="1191"/>
      <c r="C1642" s="1130">
        <v>3</v>
      </c>
      <c r="D1642" s="1178" t="s">
        <v>1420</v>
      </c>
      <c r="E1642" s="1129"/>
      <c r="F1642" s="1128"/>
      <c r="G1642" s="1128"/>
      <c r="H1642" s="1128"/>
      <c r="I1642" s="1128"/>
      <c r="J1642" s="1128"/>
      <c r="K1642" s="1128"/>
    </row>
    <row r="1643" spans="2:11" x14ac:dyDescent="0.2">
      <c r="B1643" s="1191"/>
      <c r="C1643" s="1258"/>
      <c r="D1643" s="1128" t="str">
        <f>+CONCATENATE("Quantity of loose soil to be spread (",I1629," x 1.2 ) :")</f>
        <v>Quantity of loose soil to be spread (608 x 1.2 ) :</v>
      </c>
      <c r="E1643" s="1129"/>
      <c r="F1643" s="1128"/>
      <c r="G1643" s="1128"/>
      <c r="H1643" s="1132" t="s">
        <v>1330</v>
      </c>
      <c r="I1643" s="1128">
        <f>I1629*1.2</f>
        <v>729.6</v>
      </c>
      <c r="J1643" s="1128" t="s">
        <v>1331</v>
      </c>
      <c r="K1643" s="1128"/>
    </row>
    <row r="1644" spans="2:11" x14ac:dyDescent="0.2">
      <c r="B1644" s="1191"/>
      <c r="C1644" s="1258"/>
      <c r="D1644" s="1128" t="s">
        <v>1422</v>
      </c>
      <c r="E1644" s="1129"/>
      <c r="F1644" s="1128"/>
      <c r="G1644" s="1128"/>
      <c r="H1644" s="1132" t="s">
        <v>1330</v>
      </c>
      <c r="I1644" s="1128">
        <v>200</v>
      </c>
      <c r="J1644" s="1128" t="s">
        <v>1331</v>
      </c>
      <c r="K1644" s="1128"/>
    </row>
    <row r="1645" spans="2:11" x14ac:dyDescent="0.2">
      <c r="B1645" s="1191"/>
      <c r="C1645" s="1260"/>
      <c r="D1645" s="1174" t="s">
        <v>1506</v>
      </c>
      <c r="E1645" s="1129"/>
      <c r="F1645" s="1174"/>
      <c r="G1645" s="1174">
        <f>I1643/I1644</f>
        <v>3.6480000000000001</v>
      </c>
      <c r="H1645" s="1261" t="s">
        <v>1347</v>
      </c>
      <c r="I1645" s="1128">
        <f>G1645</f>
        <v>3.6480000000000001</v>
      </c>
      <c r="J1645" s="1174" t="s">
        <v>1500</v>
      </c>
      <c r="K1645" s="1174"/>
    </row>
    <row r="1646" spans="2:11" x14ac:dyDescent="0.2">
      <c r="B1646" s="1191"/>
      <c r="C1646" s="1130">
        <v>4</v>
      </c>
      <c r="D1646" s="1178" t="s">
        <v>1424</v>
      </c>
      <c r="E1646" s="1129"/>
      <c r="F1646" s="1128"/>
      <c r="G1646" s="1128"/>
      <c r="H1646" s="1128"/>
      <c r="I1646" s="1134">
        <f>ROUND(I1645,2)</f>
        <v>3.65</v>
      </c>
      <c r="J1646" s="1174" t="s">
        <v>1500</v>
      </c>
      <c r="K1646" s="1128"/>
    </row>
    <row r="1647" spans="2:11" x14ac:dyDescent="0.2">
      <c r="B1647" s="1191"/>
      <c r="C1647" s="1258"/>
      <c r="D1647" s="1128" t="s">
        <v>1507</v>
      </c>
      <c r="E1647" s="1129"/>
      <c r="F1647" s="1128"/>
      <c r="G1647" s="1128"/>
      <c r="H1647" s="1128"/>
      <c r="I1647" s="1128"/>
      <c r="J1647" s="1128"/>
      <c r="K1647" s="1128"/>
    </row>
    <row r="1648" spans="2:11" x14ac:dyDescent="0.2">
      <c r="B1648" s="1191"/>
      <c r="C1648" s="1258"/>
      <c r="D1648" s="1128" t="s">
        <v>1426</v>
      </c>
      <c r="E1648" s="1129"/>
      <c r="F1648" s="1128"/>
      <c r="G1648" s="1128"/>
      <c r="H1648" s="1128"/>
      <c r="I1648" s="1128"/>
      <c r="J1648" s="1128"/>
      <c r="K1648" s="1128"/>
    </row>
    <row r="1649" spans="2:11" x14ac:dyDescent="0.2">
      <c r="B1649" s="1191"/>
      <c r="C1649" s="1258"/>
      <c r="D1649" s="1128" t="s">
        <v>1427</v>
      </c>
      <c r="E1649" s="1129"/>
      <c r="F1649" s="1128"/>
      <c r="G1649" s="1128"/>
      <c r="H1649" s="1128"/>
      <c r="I1649" s="1128"/>
      <c r="J1649" s="1128"/>
      <c r="K1649" s="1128"/>
    </row>
    <row r="1650" spans="2:11" x14ac:dyDescent="0.2">
      <c r="B1650" s="1191"/>
      <c r="C1650" s="1258"/>
      <c r="D1650" s="1128" t="s">
        <v>1508</v>
      </c>
      <c r="E1650" s="1129"/>
      <c r="F1650" s="1128"/>
      <c r="G1650" s="1128"/>
      <c r="H1650" s="1128"/>
      <c r="I1650" s="1128"/>
      <c r="J1650" s="1128"/>
      <c r="K1650" s="1128"/>
    </row>
    <row r="1651" spans="2:11" x14ac:dyDescent="0.2">
      <c r="B1651" s="1191"/>
      <c r="C1651" s="1258"/>
      <c r="D1651" s="1128" t="s">
        <v>1509</v>
      </c>
      <c r="E1651" s="1129"/>
      <c r="F1651" s="1128"/>
      <c r="G1651" s="1128"/>
      <c r="H1651" s="1128"/>
      <c r="I1651" s="1128"/>
      <c r="J1651" s="1128"/>
      <c r="K1651" s="1128"/>
    </row>
    <row r="1652" spans="2:11" x14ac:dyDescent="0.2">
      <c r="B1652" s="1191"/>
      <c r="C1652" s="1258"/>
      <c r="D1652" s="1128" t="s">
        <v>1510</v>
      </c>
      <c r="E1652" s="1129"/>
      <c r="F1652" s="1128"/>
      <c r="G1652" s="1128"/>
      <c r="H1652" s="1128"/>
      <c r="I1652" s="1128"/>
      <c r="J1652" s="1128"/>
      <c r="K1652" s="1128"/>
    </row>
    <row r="1653" spans="2:11" x14ac:dyDescent="0.2">
      <c r="B1653" s="1191"/>
      <c r="C1653" s="1130">
        <v>5</v>
      </c>
      <c r="D1653" s="1178" t="s">
        <v>1432</v>
      </c>
      <c r="E1653" s="1129"/>
      <c r="F1653" s="1128"/>
      <c r="G1653" s="1128"/>
      <c r="H1653" s="1128"/>
      <c r="I1653" s="1128"/>
      <c r="J1653" s="1128"/>
      <c r="K1653" s="1128"/>
    </row>
    <row r="1654" spans="2:11" x14ac:dyDescent="0.2">
      <c r="B1654" s="1191"/>
      <c r="C1654" s="1258"/>
      <c r="D1654" s="1128" t="s">
        <v>1433</v>
      </c>
      <c r="E1654" s="1129"/>
      <c r="F1654" s="1128"/>
      <c r="G1654" s="1128"/>
      <c r="H1654" s="1128"/>
      <c r="I1654" s="1128"/>
      <c r="J1654" s="1128"/>
      <c r="K1654" s="1128"/>
    </row>
    <row r="1655" spans="2:11" x14ac:dyDescent="0.2">
      <c r="B1655" s="1191"/>
      <c r="C1655" s="1258"/>
      <c r="D1655" s="1128" t="s">
        <v>1434</v>
      </c>
      <c r="E1655" s="1129"/>
      <c r="F1655" s="1128"/>
      <c r="G1655" s="1128"/>
      <c r="H1655" s="1128"/>
      <c r="I1655" s="1128"/>
      <c r="J1655" s="1128"/>
      <c r="K1655" s="1128"/>
    </row>
    <row r="1656" spans="2:11" x14ac:dyDescent="0.2">
      <c r="B1656" s="1191"/>
      <c r="C1656" s="1258"/>
      <c r="D1656" s="1128" t="s">
        <v>1435</v>
      </c>
      <c r="E1656" s="1129"/>
      <c r="F1656" s="1128"/>
      <c r="G1656" s="1128"/>
      <c r="H1656" s="1128"/>
      <c r="I1656" s="1128"/>
      <c r="J1656" s="1128"/>
      <c r="K1656" s="1128"/>
    </row>
    <row r="1657" spans="2:11" x14ac:dyDescent="0.2">
      <c r="B1657" s="1191"/>
      <c r="C1657" s="1258"/>
      <c r="D1657" s="1128" t="s">
        <v>1436</v>
      </c>
      <c r="E1657" s="1129"/>
      <c r="F1657" s="1128"/>
      <c r="G1657" s="1128"/>
      <c r="H1657" s="1132" t="s">
        <v>1330</v>
      </c>
      <c r="I1657" s="1134">
        <v>1.9</v>
      </c>
      <c r="J1657" s="1128" t="s">
        <v>1465</v>
      </c>
      <c r="K1657" s="1128"/>
    </row>
    <row r="1658" spans="2:11" x14ac:dyDescent="0.2">
      <c r="B1658" s="1191"/>
      <c r="C1658" s="1258"/>
      <c r="D1658" s="1128" t="s">
        <v>1437</v>
      </c>
      <c r="E1658" s="1129"/>
      <c r="F1658" s="1128"/>
      <c r="G1658" s="1128"/>
      <c r="H1658" s="1132" t="s">
        <v>1330</v>
      </c>
      <c r="I1658" s="1262">
        <v>4</v>
      </c>
      <c r="J1658" s="1128" t="s">
        <v>1485</v>
      </c>
      <c r="K1658" s="1128"/>
    </row>
    <row r="1659" spans="2:11" x14ac:dyDescent="0.2">
      <c r="B1659" s="1191"/>
      <c r="C1659" s="1258"/>
      <c r="D1659" s="1128" t="s">
        <v>1438</v>
      </c>
      <c r="E1659" s="1129"/>
      <c r="F1659" s="1128"/>
      <c r="G1659" s="1128"/>
      <c r="H1659" s="1132" t="s">
        <v>1330</v>
      </c>
      <c r="I1659" s="1128">
        <v>0.25</v>
      </c>
      <c r="J1659" s="1128" t="s">
        <v>1465</v>
      </c>
      <c r="K1659" s="1128"/>
    </row>
    <row r="1660" spans="2:11" x14ac:dyDescent="0.2">
      <c r="B1660" s="1191"/>
      <c r="C1660" s="1258"/>
      <c r="D1660" s="1128" t="s">
        <v>1439</v>
      </c>
      <c r="E1660" s="1129"/>
      <c r="F1660" s="1128"/>
      <c r="G1660" s="1128"/>
      <c r="H1660" s="1132" t="s">
        <v>1330</v>
      </c>
      <c r="I1660" s="1128">
        <v>11</v>
      </c>
      <c r="J1660" s="1128" t="s">
        <v>1364</v>
      </c>
      <c r="K1660" s="1128"/>
    </row>
    <row r="1661" spans="2:11" x14ac:dyDescent="0.2">
      <c r="B1661" s="1191"/>
      <c r="C1661" s="1258"/>
      <c r="D1661" s="1128" t="s">
        <v>1440</v>
      </c>
      <c r="E1661" s="1129"/>
      <c r="F1661" s="1128"/>
      <c r="G1661" s="1128"/>
      <c r="H1661" s="1128"/>
      <c r="I1661" s="1128"/>
      <c r="J1661" s="1128"/>
      <c r="K1661" s="1128"/>
    </row>
    <row r="1662" spans="2:11" x14ac:dyDescent="0.2">
      <c r="B1662" s="1191"/>
      <c r="C1662" s="1258"/>
      <c r="D1662" s="1128" t="s">
        <v>1511</v>
      </c>
      <c r="E1662" s="1129"/>
      <c r="F1662" s="1128"/>
      <c r="G1662" s="1128">
        <v>107.95</v>
      </c>
      <c r="H1662" s="1132" t="s">
        <v>1347</v>
      </c>
      <c r="I1662" s="1128">
        <v>107.95</v>
      </c>
      <c r="J1662" s="1128" t="s">
        <v>1331</v>
      </c>
      <c r="K1662" s="1128"/>
    </row>
    <row r="1663" spans="2:11" x14ac:dyDescent="0.2">
      <c r="B1663" s="1191"/>
      <c r="C1663" s="1258"/>
      <c r="D1663" s="1128" t="s">
        <v>1512</v>
      </c>
      <c r="E1663" s="1129"/>
      <c r="F1663" s="1128"/>
      <c r="G1663" s="1128"/>
      <c r="H1663" s="1132" t="s">
        <v>1347</v>
      </c>
      <c r="I1663" s="1128">
        <v>7.53</v>
      </c>
      <c r="J1663" s="1128" t="s">
        <v>1500</v>
      </c>
      <c r="K1663" s="1128"/>
    </row>
    <row r="1664" spans="2:11" x14ac:dyDescent="0.2">
      <c r="B1664" s="1191"/>
      <c r="C1664" s="1130">
        <v>6</v>
      </c>
      <c r="D1664" s="1178" t="s">
        <v>1443</v>
      </c>
      <c r="E1664" s="1129"/>
      <c r="F1664" s="1128"/>
      <c r="G1664" s="1128"/>
      <c r="H1664" s="1128"/>
      <c r="I1664" s="1128"/>
      <c r="J1664" s="1128"/>
      <c r="K1664" s="1128"/>
    </row>
    <row r="1665" spans="2:11" x14ac:dyDescent="0.2">
      <c r="B1665" s="1191"/>
      <c r="C1665" s="1130"/>
      <c r="D1665" s="1128" t="s">
        <v>1444</v>
      </c>
      <c r="E1665" s="1129"/>
      <c r="F1665" s="1128"/>
      <c r="G1665" s="1128"/>
      <c r="H1665" s="1128"/>
      <c r="I1665" s="1128"/>
      <c r="J1665" s="1128"/>
      <c r="K1665" s="1128"/>
    </row>
    <row r="1666" spans="2:11" x14ac:dyDescent="0.2">
      <c r="B1666" s="1191"/>
      <c r="C1666" s="1140"/>
      <c r="D1666" s="1132"/>
      <c r="E1666" s="1129"/>
      <c r="F1666" s="1128"/>
      <c r="G1666" s="1128"/>
      <c r="H1666" s="1128"/>
      <c r="I1666" s="1128"/>
      <c r="J1666" s="1128"/>
      <c r="K1666" s="1128"/>
    </row>
    <row r="1667" spans="2:11" x14ac:dyDescent="0.2">
      <c r="B1667" s="1191"/>
      <c r="C1667" s="1131" t="s">
        <v>1328</v>
      </c>
      <c r="D1667" s="1132"/>
      <c r="E1667" s="1142" t="s">
        <v>1373</v>
      </c>
      <c r="F1667" s="1128"/>
      <c r="G1667" s="1143" t="s">
        <v>1374</v>
      </c>
      <c r="H1667" s="1263">
        <f>+I1629</f>
        <v>608</v>
      </c>
      <c r="I1667" s="1128" t="s">
        <v>1012</v>
      </c>
      <c r="J1667" s="1128"/>
      <c r="K1667" s="1128"/>
    </row>
    <row r="1668" spans="2:11" x14ac:dyDescent="0.2">
      <c r="B1668" s="1191"/>
      <c r="C1668" s="1140"/>
      <c r="D1668" s="1145" t="s">
        <v>1375</v>
      </c>
      <c r="E1668" s="1129"/>
      <c r="F1668" s="1128"/>
      <c r="G1668" s="1128"/>
      <c r="H1668" s="1128"/>
      <c r="I1668" s="1128"/>
      <c r="J1668" s="1128"/>
      <c r="K1668" s="1128"/>
    </row>
    <row r="1669" spans="2:11" x14ac:dyDescent="0.2">
      <c r="B1669" s="1191"/>
      <c r="C1669" s="1140"/>
      <c r="D1669" s="1146" t="s">
        <v>1376</v>
      </c>
      <c r="E1669" s="1147" t="s">
        <v>1377</v>
      </c>
      <c r="F1669" s="1146" t="s">
        <v>1378</v>
      </c>
      <c r="G1669" s="1146" t="s">
        <v>139</v>
      </c>
      <c r="H1669" s="1146" t="s">
        <v>140</v>
      </c>
      <c r="I1669" s="1146" t="s">
        <v>141</v>
      </c>
      <c r="J1669" s="1128"/>
      <c r="K1669" s="1128"/>
    </row>
    <row r="1670" spans="2:11" x14ac:dyDescent="0.2">
      <c r="B1670" s="1191"/>
      <c r="C1670" s="1140"/>
      <c r="D1670" s="1148"/>
      <c r="E1670" s="1149"/>
      <c r="F1670" s="1148"/>
      <c r="G1670" s="1148"/>
      <c r="H1670" s="1148" t="s">
        <v>1379</v>
      </c>
      <c r="I1670" s="1148" t="s">
        <v>1379</v>
      </c>
      <c r="J1670" s="1128"/>
      <c r="K1670" s="1128"/>
    </row>
    <row r="1671" spans="2:11" x14ac:dyDescent="0.2">
      <c r="B1671" s="1191"/>
      <c r="C1671" s="1140"/>
      <c r="D1671" s="1146">
        <v>1</v>
      </c>
      <c r="E1671" s="1150" t="s">
        <v>1445</v>
      </c>
      <c r="F1671" s="1146"/>
      <c r="G1671" s="1151">
        <v>0</v>
      </c>
      <c r="H1671" s="1152">
        <v>0</v>
      </c>
      <c r="I1671" s="1151">
        <v>0</v>
      </c>
      <c r="J1671" s="1128"/>
      <c r="K1671" s="1128"/>
    </row>
    <row r="1672" spans="2:11" x14ac:dyDescent="0.2">
      <c r="B1672" s="1191"/>
      <c r="C1672" s="1140"/>
      <c r="D1672" s="1165"/>
      <c r="E1672" s="1171"/>
      <c r="F1672" s="1155"/>
      <c r="G1672" s="1151">
        <v>0</v>
      </c>
      <c r="H1672" s="1152">
        <v>0</v>
      </c>
      <c r="I1672" s="1151">
        <v>0</v>
      </c>
      <c r="J1672" s="1128"/>
      <c r="K1672" s="1128"/>
    </row>
    <row r="1673" spans="2:11" ht="25.5" x14ac:dyDescent="0.2">
      <c r="B1673" s="1191"/>
      <c r="C1673" s="1140"/>
      <c r="D1673" s="1153"/>
      <c r="E1673" s="1212" t="s">
        <v>1446</v>
      </c>
      <c r="F1673" s="1264" t="s">
        <v>1012</v>
      </c>
      <c r="G1673" s="1265"/>
      <c r="H1673" s="1215">
        <f>SSR!$E$42/1.13615</f>
        <v>19.363640364388505</v>
      </c>
      <c r="I1673" s="1254">
        <f>+H1673*H1667</f>
        <v>11773.09334154821</v>
      </c>
      <c r="J1673" s="1128"/>
      <c r="K1673" s="1128"/>
    </row>
    <row r="1674" spans="2:11" x14ac:dyDescent="0.2">
      <c r="B1674" s="1191"/>
      <c r="C1674" s="1140"/>
      <c r="D1674" s="1166"/>
      <c r="E1674" s="1157" t="s">
        <v>1381</v>
      </c>
      <c r="F1674" s="1158"/>
      <c r="G1674" s="1159"/>
      <c r="H1674" s="1160" t="s">
        <v>1382</v>
      </c>
      <c r="I1674" s="1170">
        <f>SUM(I1671:I1673)</f>
        <v>11773.09334154821</v>
      </c>
      <c r="J1674" s="1134"/>
      <c r="K1674" s="1128"/>
    </row>
    <row r="1675" spans="2:11" x14ac:dyDescent="0.2">
      <c r="B1675" s="1191"/>
      <c r="C1675" s="1140"/>
      <c r="D1675" s="1132"/>
      <c r="E1675" s="1129"/>
      <c r="F1675" s="1128"/>
      <c r="G1675" s="1128"/>
      <c r="H1675" s="1128"/>
      <c r="I1675" s="1128"/>
      <c r="J1675" s="1128"/>
      <c r="K1675" s="1128"/>
    </row>
    <row r="1676" spans="2:11" x14ac:dyDescent="0.2">
      <c r="B1676" s="1191"/>
      <c r="C1676" s="1140"/>
      <c r="D1676" s="1145" t="s">
        <v>1383</v>
      </c>
      <c r="E1676" s="1129"/>
      <c r="F1676" s="1128"/>
      <c r="G1676" s="1128"/>
      <c r="H1676" s="1128"/>
      <c r="I1676" s="1128"/>
      <c r="J1676" s="1128"/>
      <c r="K1676" s="1128"/>
    </row>
    <row r="1677" spans="2:11" x14ac:dyDescent="0.2">
      <c r="B1677" s="1191"/>
      <c r="C1677" s="1140"/>
      <c r="D1677" s="1146" t="s">
        <v>1376</v>
      </c>
      <c r="E1677" s="1147" t="s">
        <v>284</v>
      </c>
      <c r="F1677" s="1146" t="s">
        <v>1378</v>
      </c>
      <c r="G1677" s="1146" t="s">
        <v>139</v>
      </c>
      <c r="H1677" s="1146" t="s">
        <v>140</v>
      </c>
      <c r="I1677" s="1146" t="s">
        <v>141</v>
      </c>
      <c r="J1677" s="1128"/>
      <c r="K1677" s="1128"/>
    </row>
    <row r="1678" spans="2:11" x14ac:dyDescent="0.2">
      <c r="B1678" s="1191"/>
      <c r="C1678" s="1140"/>
      <c r="D1678" s="1148"/>
      <c r="E1678" s="1149"/>
      <c r="F1678" s="1148"/>
      <c r="G1678" s="1148"/>
      <c r="H1678" s="1148" t="s">
        <v>1379</v>
      </c>
      <c r="I1678" s="1148" t="s">
        <v>1379</v>
      </c>
      <c r="J1678" s="1128"/>
      <c r="K1678" s="1128"/>
    </row>
    <row r="1679" spans="2:11" x14ac:dyDescent="0.2">
      <c r="B1679" s="1191"/>
      <c r="C1679" s="1140"/>
      <c r="D1679" s="1146">
        <v>1</v>
      </c>
      <c r="E1679" s="1175" t="s">
        <v>1513</v>
      </c>
      <c r="F1679" s="1146" t="s">
        <v>1213</v>
      </c>
      <c r="G1679" s="1266">
        <f>I1638+I1646</f>
        <v>5.65</v>
      </c>
      <c r="H1679" s="1151">
        <v>1715.5</v>
      </c>
      <c r="I1679" s="1151">
        <f>+H1679*G1679</f>
        <v>9692.5750000000007</v>
      </c>
      <c r="J1679" s="1128"/>
      <c r="K1679" s="1179"/>
    </row>
    <row r="1680" spans="2:11" x14ac:dyDescent="0.2">
      <c r="B1680" s="1191"/>
      <c r="C1680" s="1140"/>
      <c r="D1680" s="1164"/>
      <c r="E1680" s="1175" t="s">
        <v>1385</v>
      </c>
      <c r="F1680" s="1155" t="s">
        <v>1213</v>
      </c>
      <c r="G1680" s="1266">
        <f>G1679</f>
        <v>5.65</v>
      </c>
      <c r="H1680" s="1151">
        <v>603.1</v>
      </c>
      <c r="I1680" s="1151">
        <f t="shared" ref="I1680:I1691" si="54">+H1680*G1680</f>
        <v>3407.5150000000003</v>
      </c>
      <c r="J1680" s="1128"/>
      <c r="K1680" s="1179"/>
    </row>
    <row r="1681" spans="2:11" x14ac:dyDescent="0.2">
      <c r="B1681" s="1191"/>
      <c r="C1681" s="1140"/>
      <c r="D1681" s="1155">
        <v>2</v>
      </c>
      <c r="E1681" s="1175" t="s">
        <v>1474</v>
      </c>
      <c r="F1681" s="1155" t="s">
        <v>1213</v>
      </c>
      <c r="G1681" s="1266">
        <v>8</v>
      </c>
      <c r="H1681" s="1151">
        <v>1003.1</v>
      </c>
      <c r="I1681" s="1151">
        <f t="shared" si="54"/>
        <v>8024.8</v>
      </c>
      <c r="J1681" s="1128"/>
      <c r="K1681" s="1179"/>
    </row>
    <row r="1682" spans="2:11" x14ac:dyDescent="0.2">
      <c r="B1682" s="1191"/>
      <c r="C1682" s="1140"/>
      <c r="D1682" s="1164"/>
      <c r="E1682" s="1175" t="s">
        <v>1385</v>
      </c>
      <c r="F1682" s="1155" t="s">
        <v>1213</v>
      </c>
      <c r="G1682" s="1266">
        <v>8</v>
      </c>
      <c r="H1682" s="1151">
        <v>470.3</v>
      </c>
      <c r="I1682" s="1151">
        <f t="shared" si="54"/>
        <v>3762.4</v>
      </c>
      <c r="J1682" s="1128"/>
      <c r="K1682" s="1179"/>
    </row>
    <row r="1683" spans="2:11" ht="25.5" x14ac:dyDescent="0.2">
      <c r="B1683" s="1191"/>
      <c r="C1683" s="1140"/>
      <c r="D1683" s="1155">
        <v>3</v>
      </c>
      <c r="E1683" s="1175" t="s">
        <v>1514</v>
      </c>
      <c r="F1683" s="1155" t="s">
        <v>1213</v>
      </c>
      <c r="G1683" s="1266">
        <f>8*I1627</f>
        <v>152</v>
      </c>
      <c r="H1683" s="1151">
        <v>446.7</v>
      </c>
      <c r="I1683" s="1151">
        <f t="shared" si="54"/>
        <v>67898.399999999994</v>
      </c>
      <c r="J1683" s="1128"/>
      <c r="K1683" s="1179"/>
    </row>
    <row r="1684" spans="2:11" x14ac:dyDescent="0.2">
      <c r="B1684" s="1191"/>
      <c r="C1684" s="1140"/>
      <c r="D1684" s="1164"/>
      <c r="E1684" s="1175" t="s">
        <v>1385</v>
      </c>
      <c r="F1684" s="1155" t="s">
        <v>1213</v>
      </c>
      <c r="G1684" s="1266">
        <f>G1683</f>
        <v>152</v>
      </c>
      <c r="H1684" s="1151">
        <v>296.3</v>
      </c>
      <c r="I1684" s="1151">
        <f t="shared" si="54"/>
        <v>45037.599999999999</v>
      </c>
      <c r="J1684" s="1128"/>
      <c r="K1684" s="1179"/>
    </row>
    <row r="1685" spans="2:11" x14ac:dyDescent="0.2">
      <c r="B1685" s="1191"/>
      <c r="C1685" s="1140"/>
      <c r="D1685" s="1155">
        <v>4</v>
      </c>
      <c r="E1685" s="1175" t="s">
        <v>1448</v>
      </c>
      <c r="F1685" s="1155" t="s">
        <v>1213</v>
      </c>
      <c r="G1685" s="1266">
        <v>3</v>
      </c>
      <c r="H1685" s="1151">
        <v>10.199999999999999</v>
      </c>
      <c r="I1685" s="1151">
        <f t="shared" si="54"/>
        <v>30.599999999999998</v>
      </c>
      <c r="J1685" s="1128"/>
      <c r="K1685" s="1179"/>
    </row>
    <row r="1686" spans="2:11" x14ac:dyDescent="0.2">
      <c r="B1686" s="1191"/>
      <c r="C1686" s="1140"/>
      <c r="D1686" s="1164"/>
      <c r="E1686" s="1175" t="s">
        <v>1385</v>
      </c>
      <c r="F1686" s="1155" t="s">
        <v>1213</v>
      </c>
      <c r="G1686" s="1266">
        <v>3</v>
      </c>
      <c r="H1686" s="1151">
        <v>78.400000000000006</v>
      </c>
      <c r="I1686" s="1151">
        <f t="shared" si="54"/>
        <v>235.20000000000002</v>
      </c>
      <c r="J1686" s="1128"/>
      <c r="K1686" s="1179"/>
    </row>
    <row r="1687" spans="2:11" x14ac:dyDescent="0.2">
      <c r="B1687" s="1191"/>
      <c r="C1687" s="1140"/>
      <c r="D1687" s="1155">
        <v>5</v>
      </c>
      <c r="E1687" s="1175" t="s">
        <v>1449</v>
      </c>
      <c r="F1687" s="1155" t="s">
        <v>1213</v>
      </c>
      <c r="G1687" s="1266">
        <v>6</v>
      </c>
      <c r="H1687" s="1151">
        <v>402.5</v>
      </c>
      <c r="I1687" s="1151">
        <f t="shared" si="54"/>
        <v>2415</v>
      </c>
      <c r="J1687" s="1128"/>
      <c r="K1687" s="1179"/>
    </row>
    <row r="1688" spans="2:11" x14ac:dyDescent="0.2">
      <c r="B1688" s="1191"/>
      <c r="C1688" s="1140"/>
      <c r="D1688" s="1164"/>
      <c r="E1688" s="1175" t="s">
        <v>1385</v>
      </c>
      <c r="F1688" s="1155" t="s">
        <v>1213</v>
      </c>
      <c r="G1688" s="1266">
        <v>6</v>
      </c>
      <c r="H1688" s="1151">
        <v>296.3</v>
      </c>
      <c r="I1688" s="1151">
        <f t="shared" si="54"/>
        <v>1777.8000000000002</v>
      </c>
      <c r="J1688" s="1128"/>
      <c r="K1688" s="1179"/>
    </row>
    <row r="1689" spans="2:11" ht="25.5" x14ac:dyDescent="0.2">
      <c r="B1689" s="1191"/>
      <c r="C1689" s="1140"/>
      <c r="D1689" s="1155">
        <v>6</v>
      </c>
      <c r="E1689" s="1175" t="s">
        <v>1450</v>
      </c>
      <c r="F1689" s="1155" t="s">
        <v>1213</v>
      </c>
      <c r="G1689" s="1266">
        <f>I1663</f>
        <v>7.53</v>
      </c>
      <c r="H1689" s="1151">
        <v>1342.2</v>
      </c>
      <c r="I1689" s="1151">
        <f t="shared" si="54"/>
        <v>10106.766000000001</v>
      </c>
      <c r="J1689" s="1134"/>
      <c r="K1689" s="1179"/>
    </row>
    <row r="1690" spans="2:11" x14ac:dyDescent="0.2">
      <c r="B1690" s="1191"/>
      <c r="C1690" s="1140"/>
      <c r="D1690" s="1164"/>
      <c r="E1690" s="1175" t="s">
        <v>1385</v>
      </c>
      <c r="F1690" s="1155" t="s">
        <v>1213</v>
      </c>
      <c r="G1690" s="1266">
        <f>G1689</f>
        <v>7.53</v>
      </c>
      <c r="H1690" s="1151">
        <v>1018.9</v>
      </c>
      <c r="I1690" s="1151">
        <f t="shared" si="54"/>
        <v>7672.317</v>
      </c>
      <c r="J1690" s="1134"/>
      <c r="K1690" s="1179"/>
    </row>
    <row r="1691" spans="2:11" x14ac:dyDescent="0.2">
      <c r="B1691" s="1191"/>
      <c r="C1691" s="1140"/>
      <c r="D1691" s="1148">
        <v>7</v>
      </c>
      <c r="E1691" s="1175" t="s">
        <v>1318</v>
      </c>
      <c r="F1691" s="1155" t="s">
        <v>581</v>
      </c>
      <c r="G1691" s="1266">
        <v>2</v>
      </c>
      <c r="H1691" s="1151">
        <v>41</v>
      </c>
      <c r="I1691" s="1151">
        <f t="shared" si="54"/>
        <v>82</v>
      </c>
      <c r="J1691" s="1134"/>
      <c r="K1691" s="1179"/>
    </row>
    <row r="1692" spans="2:11" ht="25.5" x14ac:dyDescent="0.2">
      <c r="B1692" s="1191"/>
      <c r="C1692" s="1140"/>
      <c r="D1692" s="1166"/>
      <c r="E1692" s="1167" t="s">
        <v>1387</v>
      </c>
      <c r="F1692" s="1168"/>
      <c r="G1692" s="1169"/>
      <c r="H1692" s="1160" t="s">
        <v>1382</v>
      </c>
      <c r="I1692" s="1161">
        <f>SUM(I1679:I1691)</f>
        <v>160142.97300000003</v>
      </c>
      <c r="J1692" s="1134"/>
      <c r="K1692" s="1268"/>
    </row>
    <row r="1693" spans="2:11" x14ac:dyDescent="0.2">
      <c r="B1693" s="1191"/>
      <c r="C1693" s="1140"/>
      <c r="D1693" s="1132"/>
      <c r="E1693" s="1129"/>
      <c r="F1693" s="1128"/>
      <c r="G1693" s="1128"/>
      <c r="H1693" s="1128"/>
      <c r="I1693" s="1128"/>
      <c r="J1693" s="1128"/>
      <c r="K1693" s="1128"/>
    </row>
    <row r="1694" spans="2:11" x14ac:dyDescent="0.2">
      <c r="B1694" s="1191"/>
      <c r="C1694" s="1140"/>
      <c r="D1694" s="1145" t="s">
        <v>1388</v>
      </c>
      <c r="E1694" s="1129"/>
      <c r="F1694" s="1128"/>
      <c r="G1694" s="1128"/>
      <c r="H1694" s="1128"/>
      <c r="I1694" s="1128"/>
      <c r="J1694" s="1128"/>
      <c r="K1694" s="1128"/>
    </row>
    <row r="1695" spans="2:11" x14ac:dyDescent="0.2">
      <c r="B1695" s="1191"/>
      <c r="C1695" s="1140"/>
      <c r="D1695" s="1146" t="s">
        <v>1376</v>
      </c>
      <c r="E1695" s="1147" t="s">
        <v>284</v>
      </c>
      <c r="F1695" s="1146" t="s">
        <v>1378</v>
      </c>
      <c r="G1695" s="1146" t="s">
        <v>139</v>
      </c>
      <c r="H1695" s="1146" t="s">
        <v>140</v>
      </c>
      <c r="I1695" s="1146" t="s">
        <v>141</v>
      </c>
      <c r="J1695" s="1128"/>
      <c r="K1695" s="1128"/>
    </row>
    <row r="1696" spans="2:11" x14ac:dyDescent="0.2">
      <c r="B1696" s="1191"/>
      <c r="C1696" s="1140"/>
      <c r="D1696" s="1148"/>
      <c r="E1696" s="1149"/>
      <c r="F1696" s="1155"/>
      <c r="G1696" s="1148"/>
      <c r="H1696" s="1148" t="s">
        <v>1379</v>
      </c>
      <c r="I1696" s="1148" t="s">
        <v>1379</v>
      </c>
      <c r="J1696" s="1128"/>
      <c r="K1696" s="1128"/>
    </row>
    <row r="1697" spans="2:11" x14ac:dyDescent="0.2">
      <c r="B1697" s="1191"/>
      <c r="C1697" s="1140"/>
      <c r="D1697" s="1155">
        <v>1</v>
      </c>
      <c r="E1697" s="1171" t="s">
        <v>1451</v>
      </c>
      <c r="F1697" s="1146" t="s">
        <v>1213</v>
      </c>
      <c r="G1697" s="1172">
        <f>G1679</f>
        <v>5.65</v>
      </c>
      <c r="H1697" s="1173">
        <f>H1527</f>
        <v>222.3</v>
      </c>
      <c r="I1697" s="1151">
        <f>+G1697*H1697</f>
        <v>1255.9950000000001</v>
      </c>
      <c r="J1697" s="1128"/>
      <c r="K1697" s="1179"/>
    </row>
    <row r="1698" spans="2:11" x14ac:dyDescent="0.2">
      <c r="B1698" s="1191"/>
      <c r="C1698" s="1140"/>
      <c r="D1698" s="1155">
        <v>2</v>
      </c>
      <c r="E1698" s="1171" t="s">
        <v>1389</v>
      </c>
      <c r="F1698" s="1155" t="s">
        <v>1213</v>
      </c>
      <c r="G1698" s="1172">
        <f>G1681</f>
        <v>8</v>
      </c>
      <c r="H1698" s="1173">
        <f>H1583</f>
        <v>222.3</v>
      </c>
      <c r="I1698" s="1151">
        <f t="shared" ref="I1698:I1704" si="55">+G1698*H1698</f>
        <v>1778.4</v>
      </c>
      <c r="J1698" s="1128"/>
      <c r="K1698" s="1179"/>
    </row>
    <row r="1699" spans="2:11" x14ac:dyDescent="0.2">
      <c r="B1699" s="1191"/>
      <c r="C1699" s="1140"/>
      <c r="D1699" s="1155">
        <v>3</v>
      </c>
      <c r="E1699" s="1171" t="s">
        <v>1390</v>
      </c>
      <c r="F1699" s="1155" t="s">
        <v>1213</v>
      </c>
      <c r="G1699" s="1172">
        <f>G1683</f>
        <v>152</v>
      </c>
      <c r="H1699" s="1173">
        <f>H1444</f>
        <v>166.7</v>
      </c>
      <c r="I1699" s="1151">
        <f t="shared" si="55"/>
        <v>25338.399999999998</v>
      </c>
      <c r="J1699" s="1128"/>
      <c r="K1699" s="1179"/>
    </row>
    <row r="1700" spans="2:11" x14ac:dyDescent="0.2">
      <c r="B1700" s="1191"/>
      <c r="C1700" s="1140"/>
      <c r="D1700" s="1155">
        <v>4</v>
      </c>
      <c r="E1700" s="1171" t="s">
        <v>1452</v>
      </c>
      <c r="F1700" s="1155" t="s">
        <v>1213</v>
      </c>
      <c r="G1700" s="1172">
        <f>G1685</f>
        <v>3</v>
      </c>
      <c r="H1700" s="1173">
        <f>H1528</f>
        <v>104.8</v>
      </c>
      <c r="I1700" s="1151">
        <f t="shared" si="55"/>
        <v>314.39999999999998</v>
      </c>
      <c r="J1700" s="1128"/>
      <c r="K1700" s="1179"/>
    </row>
    <row r="1701" spans="2:11" x14ac:dyDescent="0.2">
      <c r="B1701" s="1191"/>
      <c r="C1701" s="1140"/>
      <c r="D1701" s="1155">
        <v>5</v>
      </c>
      <c r="E1701" s="1171" t="s">
        <v>1453</v>
      </c>
      <c r="F1701" s="1155" t="s">
        <v>1213</v>
      </c>
      <c r="G1701" s="1172">
        <f>G1687</f>
        <v>6</v>
      </c>
      <c r="H1701" s="1173">
        <f>H1529</f>
        <v>166.7</v>
      </c>
      <c r="I1701" s="1151">
        <f t="shared" si="55"/>
        <v>1000.1999999999999</v>
      </c>
      <c r="J1701" s="1128"/>
      <c r="K1701" s="1179"/>
    </row>
    <row r="1702" spans="2:11" x14ac:dyDescent="0.2">
      <c r="B1702" s="1191"/>
      <c r="C1702" s="1140"/>
      <c r="D1702" s="1155">
        <v>6</v>
      </c>
      <c r="E1702" s="1171" t="s">
        <v>1454</v>
      </c>
      <c r="F1702" s="1155" t="s">
        <v>1213</v>
      </c>
      <c r="G1702" s="1172">
        <f>G1689</f>
        <v>7.53</v>
      </c>
      <c r="H1702" s="1173">
        <f>H1530</f>
        <v>248</v>
      </c>
      <c r="I1702" s="1151">
        <f t="shared" si="55"/>
        <v>1867.44</v>
      </c>
      <c r="J1702" s="1128"/>
      <c r="K1702" s="1179"/>
    </row>
    <row r="1703" spans="2:11" x14ac:dyDescent="0.2">
      <c r="B1703" s="1191"/>
      <c r="C1703" s="1140"/>
      <c r="D1703" s="1155">
        <v>7</v>
      </c>
      <c r="E1703" s="1171" t="s">
        <v>1391</v>
      </c>
      <c r="F1703" s="1155" t="s">
        <v>1392</v>
      </c>
      <c r="G1703" s="1172">
        <v>2</v>
      </c>
      <c r="H1703" s="1173">
        <f>H1584</f>
        <v>400</v>
      </c>
      <c r="I1703" s="1151">
        <f t="shared" si="55"/>
        <v>800</v>
      </c>
      <c r="J1703" s="1128"/>
      <c r="K1703" s="1179"/>
    </row>
    <row r="1704" spans="2:11" x14ac:dyDescent="0.2">
      <c r="B1704" s="1191"/>
      <c r="C1704" s="1140"/>
      <c r="D1704" s="1155">
        <v>8</v>
      </c>
      <c r="E1704" s="1171" t="s">
        <v>1455</v>
      </c>
      <c r="F1704" s="1155" t="s">
        <v>1392</v>
      </c>
      <c r="G1704" s="1172">
        <v>4</v>
      </c>
      <c r="H1704" s="1173">
        <f>H1585</f>
        <v>320</v>
      </c>
      <c r="I1704" s="1151">
        <f t="shared" si="55"/>
        <v>1280</v>
      </c>
      <c r="J1704" s="1128"/>
      <c r="K1704" s="1179"/>
    </row>
    <row r="1705" spans="2:11" x14ac:dyDescent="0.2">
      <c r="B1705" s="1191"/>
      <c r="C1705" s="1140"/>
      <c r="D1705" s="1156"/>
      <c r="E1705" s="1157" t="s">
        <v>1394</v>
      </c>
      <c r="F1705" s="1158"/>
      <c r="G1705" s="1159"/>
      <c r="H1705" s="1160" t="s">
        <v>1382</v>
      </c>
      <c r="I1705" s="1170">
        <f>SUM(I1697:I1704)</f>
        <v>33634.834999999999</v>
      </c>
      <c r="J1705" s="1128"/>
    </row>
    <row r="1706" spans="2:11" x14ac:dyDescent="0.2">
      <c r="B1706" s="1191"/>
      <c r="C1706" s="1140"/>
      <c r="D1706" s="1261"/>
      <c r="E1706" s="1269"/>
      <c r="F1706" s="1174"/>
      <c r="G1706" s="1174"/>
      <c r="H1706" s="1270"/>
      <c r="I1706" s="1271">
        <f>I1692+I1705</f>
        <v>193777.80800000002</v>
      </c>
      <c r="J1706" s="1128"/>
      <c r="K1706" s="1271"/>
    </row>
    <row r="1707" spans="2:11" x14ac:dyDescent="0.2">
      <c r="B1707" s="1191"/>
      <c r="C1707" s="1140"/>
      <c r="D1707" s="1174" t="s">
        <v>1395</v>
      </c>
      <c r="E1707" s="1129"/>
      <c r="F1707" s="1174"/>
      <c r="G1707" s="1176">
        <f>+I1705/H1667</f>
        <v>55.32045230263158</v>
      </c>
      <c r="H1707" s="1128"/>
      <c r="I1707" s="1176">
        <f>I1706*0.14</f>
        <v>27128.893120000004</v>
      </c>
      <c r="J1707" s="1128"/>
    </row>
    <row r="1708" spans="2:11" x14ac:dyDescent="0.2">
      <c r="B1708" s="1191"/>
      <c r="C1708" s="1140"/>
      <c r="D1708" s="1174" t="s">
        <v>2104</v>
      </c>
      <c r="E1708" s="1129"/>
      <c r="F1708" s="1940">
        <f>G1717</f>
        <v>0.13614999999999999</v>
      </c>
      <c r="G1708" s="1176">
        <f>+G1707*F1708</f>
        <v>7.531879581003289</v>
      </c>
      <c r="H1708" s="1128"/>
      <c r="I1708" s="1176">
        <f>I1706+I1707</f>
        <v>220906.70112000001</v>
      </c>
      <c r="J1708" s="1128"/>
    </row>
    <row r="1709" spans="2:11" x14ac:dyDescent="0.2">
      <c r="B1709" s="1191"/>
      <c r="C1709" s="1140"/>
      <c r="D1709" s="1174" t="s">
        <v>2103</v>
      </c>
      <c r="E1709" s="1129"/>
      <c r="F1709" s="1174"/>
      <c r="G1709" s="1177">
        <f>SUM(G1707:G1708)</f>
        <v>62.852331883634868</v>
      </c>
      <c r="H1709" s="1128"/>
      <c r="I1709" s="1176">
        <f>I1708/F1718</f>
        <v>363.33339000000001</v>
      </c>
      <c r="J1709" s="1128"/>
    </row>
    <row r="1710" spans="2:11" x14ac:dyDescent="0.2">
      <c r="B1710" s="1191"/>
      <c r="C1710" s="1140"/>
      <c r="D1710" s="1128"/>
      <c r="E1710" s="1129"/>
      <c r="F1710" s="1128"/>
      <c r="G1710" s="1128"/>
      <c r="H1710" s="1128"/>
      <c r="I1710" s="1128"/>
      <c r="J1710" s="1128"/>
      <c r="K1710" s="1128"/>
    </row>
    <row r="1711" spans="2:11" x14ac:dyDescent="0.2">
      <c r="B1711" s="1191"/>
      <c r="C1711" s="1140"/>
      <c r="D1711" s="1178" t="s">
        <v>1396</v>
      </c>
      <c r="E1711" s="1129"/>
      <c r="F1711" s="1128"/>
      <c r="G1711" s="1128"/>
      <c r="H1711" s="1128"/>
      <c r="I1711" s="1128"/>
      <c r="J1711" s="1128"/>
      <c r="K1711" s="1128"/>
    </row>
    <row r="1712" spans="2:11" x14ac:dyDescent="0.2">
      <c r="B1712" s="1191"/>
      <c r="C1712" s="1140"/>
      <c r="D1712" s="1128" t="s">
        <v>1515</v>
      </c>
      <c r="E1712" s="1129"/>
      <c r="F1712" s="1128"/>
      <c r="G1712" s="1128"/>
      <c r="H1712" s="1143" t="s">
        <v>1382</v>
      </c>
      <c r="I1712" s="1134">
        <f>I1674</f>
        <v>11773.09334154821</v>
      </c>
      <c r="J1712" s="1128"/>
      <c r="K1712" s="1128"/>
    </row>
    <row r="1713" spans="1:11" x14ac:dyDescent="0.2">
      <c r="B1713" s="1191"/>
      <c r="C1713" s="1140"/>
      <c r="D1713" s="1128" t="s">
        <v>1398</v>
      </c>
      <c r="E1713" s="1129"/>
      <c r="F1713" s="1128"/>
      <c r="G1713" s="1128"/>
      <c r="H1713" s="1143" t="s">
        <v>1382</v>
      </c>
      <c r="I1713" s="1134">
        <f>I1692</f>
        <v>160142.97300000003</v>
      </c>
      <c r="J1713" s="1128"/>
      <c r="K1713" s="1128"/>
    </row>
    <row r="1714" spans="1:11" x14ac:dyDescent="0.2">
      <c r="B1714" s="1191"/>
      <c r="C1714" s="1140"/>
      <c r="D1714" s="1128" t="s">
        <v>1399</v>
      </c>
      <c r="E1714" s="1129"/>
      <c r="F1714" s="1128"/>
      <c r="G1714" s="1128"/>
      <c r="H1714" s="1143" t="s">
        <v>1382</v>
      </c>
      <c r="I1714" s="1179">
        <f>I1705</f>
        <v>33634.834999999999</v>
      </c>
      <c r="J1714" s="1128" t="s">
        <v>1400</v>
      </c>
      <c r="K1714" s="1128"/>
    </row>
    <row r="1715" spans="1:11" x14ac:dyDescent="0.2">
      <c r="B1715" s="1191"/>
      <c r="C1715" s="1140"/>
      <c r="D1715" s="1128"/>
      <c r="E1715" s="129" t="str">
        <f>+IF($I$4=0%,"---","Municipal allowance")</f>
        <v>Municipal allowance</v>
      </c>
      <c r="F1715" s="928">
        <f>$I$4</f>
        <v>0.2</v>
      </c>
      <c r="G1715" s="1128"/>
      <c r="H1715" s="1143"/>
      <c r="I1715" s="1179">
        <f>I1714*F1715</f>
        <v>6726.9670000000006</v>
      </c>
      <c r="J1715" s="1128"/>
      <c r="K1715" s="1128"/>
    </row>
    <row r="1716" spans="1:11" x14ac:dyDescent="0.2">
      <c r="B1716" s="1191"/>
      <c r="C1716" s="1140"/>
      <c r="D1716" s="1132"/>
      <c r="E1716" s="1129"/>
      <c r="F1716" s="1128"/>
      <c r="G1716" s="1272"/>
      <c r="H1716" s="1143" t="s">
        <v>1457</v>
      </c>
      <c r="I1716" s="1181">
        <f>SUM(I1712:I1715)</f>
        <v>212277.86834154822</v>
      </c>
      <c r="J1716" s="1128"/>
      <c r="K1716" s="1128"/>
    </row>
    <row r="1717" spans="1:11" x14ac:dyDescent="0.2">
      <c r="B1717" s="1191"/>
      <c r="C1717" s="1140"/>
      <c r="D1717" s="2040" t="s">
        <v>2105</v>
      </c>
      <c r="E1717" s="2040"/>
      <c r="F1717" s="2040"/>
      <c r="G1717" s="1940">
        <f>+$I$5</f>
        <v>0.13614999999999999</v>
      </c>
      <c r="H1717" s="1143" t="s">
        <v>1382</v>
      </c>
      <c r="I1717" s="1179">
        <f>I1716*G1717</f>
        <v>28901.631774701789</v>
      </c>
      <c r="J1717" s="1128"/>
      <c r="K1717" s="1128"/>
    </row>
    <row r="1718" spans="1:11" x14ac:dyDescent="0.2">
      <c r="B1718" s="1191"/>
      <c r="C1718" s="1140"/>
      <c r="D1718" s="1128" t="s">
        <v>1402</v>
      </c>
      <c r="E1718" s="1129"/>
      <c r="F1718" s="1182">
        <f>+H1667</f>
        <v>608</v>
      </c>
      <c r="G1718" s="1182" t="s">
        <v>1012</v>
      </c>
      <c r="H1718" s="1143" t="s">
        <v>1382</v>
      </c>
      <c r="I1718" s="1182">
        <f>SUM(I1716:I1717)</f>
        <v>241179.50011625001</v>
      </c>
      <c r="J1718" s="1128"/>
      <c r="K1718" s="1128"/>
    </row>
    <row r="1719" spans="1:11" x14ac:dyDescent="0.2">
      <c r="A1719" s="933"/>
      <c r="B1719" s="1191"/>
      <c r="C1719" s="1140"/>
      <c r="D1719" s="1183" t="s">
        <v>1403</v>
      </c>
      <c r="E1719" s="1184" t="s">
        <v>1012</v>
      </c>
      <c r="F1719" s="1178" t="s">
        <v>1516</v>
      </c>
      <c r="G1719" s="1128"/>
      <c r="H1719" s="1143" t="s">
        <v>1022</v>
      </c>
      <c r="I1719" s="1170">
        <f>ROUND(I1718/F1718,1)</f>
        <v>396.7</v>
      </c>
      <c r="J1719" s="1273"/>
      <c r="K1719" s="1128"/>
    </row>
    <row r="1720" spans="1:11" x14ac:dyDescent="0.2">
      <c r="B1720" s="1191"/>
      <c r="C1720" s="1140"/>
      <c r="D1720" s="1132"/>
      <c r="E1720" s="1129"/>
      <c r="F1720" s="1128"/>
      <c r="G1720" s="1128"/>
      <c r="H1720" s="1128"/>
      <c r="I1720" s="1128"/>
      <c r="J1720" s="1128"/>
      <c r="K1720" s="1128"/>
    </row>
    <row r="1721" spans="1:11" ht="15" x14ac:dyDescent="0.25">
      <c r="B1721" s="2050" t="s">
        <v>1517</v>
      </c>
      <c r="C1721" s="1274" t="s">
        <v>1518</v>
      </c>
      <c r="D1721" s="1275" t="s">
        <v>1519</v>
      </c>
      <c r="E1721" s="1276"/>
      <c r="F1721" s="1276"/>
      <c r="G1721" s="1276"/>
      <c r="H1721" s="1276"/>
      <c r="I1721" s="1276"/>
      <c r="J1721" s="1276"/>
    </row>
    <row r="1722" spans="1:11" ht="15" x14ac:dyDescent="0.25">
      <c r="B1722" s="2051"/>
      <c r="C1722" s="1274"/>
      <c r="D1722" s="1275" t="s">
        <v>1520</v>
      </c>
      <c r="E1722" s="1276"/>
      <c r="F1722" s="1276"/>
      <c r="G1722" s="1276"/>
      <c r="H1722" s="1276"/>
      <c r="I1722" s="1276"/>
      <c r="J1722" s="1276"/>
    </row>
    <row r="1723" spans="1:11" ht="15" x14ac:dyDescent="0.25">
      <c r="B1723" s="2051"/>
      <c r="C1723" s="1274"/>
      <c r="D1723" s="1275" t="s">
        <v>1521</v>
      </c>
      <c r="E1723" s="1276"/>
      <c r="F1723" s="1276"/>
      <c r="G1723" s="1276"/>
      <c r="H1723" s="1276"/>
      <c r="I1723" s="1276"/>
      <c r="J1723" s="1276"/>
    </row>
    <row r="1724" spans="1:11" ht="15" x14ac:dyDescent="0.25">
      <c r="B1724" s="2052"/>
      <c r="C1724" s="1274"/>
      <c r="D1724" s="1277" t="s">
        <v>1522</v>
      </c>
      <c r="E1724" s="1276"/>
      <c r="F1724" s="1276"/>
      <c r="G1724" s="1276"/>
      <c r="H1724" s="1276"/>
      <c r="I1724" s="1276"/>
      <c r="J1724" s="1276"/>
    </row>
    <row r="1725" spans="1:11" ht="15" x14ac:dyDescent="0.25">
      <c r="B1725" s="1278"/>
      <c r="C1725" s="1274"/>
      <c r="D1725" s="1277"/>
      <c r="E1725" s="1276"/>
      <c r="F1725" s="1276"/>
      <c r="G1725" s="1276"/>
      <c r="H1725" s="1276"/>
      <c r="I1725" s="1276"/>
      <c r="J1725" s="1276"/>
    </row>
    <row r="1726" spans="1:11" ht="15" x14ac:dyDescent="0.25">
      <c r="B1726" s="1278"/>
      <c r="C1726" s="1274" t="s">
        <v>1328</v>
      </c>
      <c r="D1726" s="1275" t="s">
        <v>1523</v>
      </c>
      <c r="E1726" s="1276"/>
      <c r="F1726" s="1276"/>
      <c r="G1726" s="1276"/>
      <c r="H1726" s="1276"/>
      <c r="I1726" s="1276"/>
      <c r="J1726" s="1276"/>
    </row>
    <row r="1727" spans="1:11" ht="15" x14ac:dyDescent="0.25">
      <c r="B1727" s="1278"/>
      <c r="C1727" s="1279"/>
      <c r="D1727" s="1276" t="s">
        <v>1524</v>
      </c>
      <c r="E1727" s="1276"/>
      <c r="F1727" s="1276"/>
      <c r="G1727" s="1280" t="s">
        <v>1330</v>
      </c>
      <c r="H1727" s="1281">
        <v>12</v>
      </c>
      <c r="I1727" s="1276" t="s">
        <v>1012</v>
      </c>
      <c r="J1727" s="1276"/>
    </row>
    <row r="1728" spans="1:11" ht="15" x14ac:dyDescent="0.25">
      <c r="B1728" s="1278"/>
      <c r="C1728" s="1279"/>
      <c r="D1728" s="1276" t="s">
        <v>1525</v>
      </c>
      <c r="E1728" s="1276"/>
      <c r="F1728" s="1276"/>
      <c r="G1728" s="1280" t="s">
        <v>1330</v>
      </c>
      <c r="H1728" s="1276">
        <v>58.6</v>
      </c>
      <c r="I1728" s="1276" t="s">
        <v>1526</v>
      </c>
      <c r="J1728" s="1276"/>
    </row>
    <row r="1729" spans="2:10" ht="15" x14ac:dyDescent="0.25">
      <c r="B1729" s="1278"/>
      <c r="C1729" s="1279"/>
      <c r="D1729" s="1276" t="s">
        <v>1527</v>
      </c>
      <c r="E1729" s="1276"/>
      <c r="F1729" s="1276"/>
      <c r="G1729" s="1280" t="s">
        <v>1330</v>
      </c>
      <c r="H1729" s="1276">
        <v>0.5</v>
      </c>
      <c r="I1729" s="1276" t="s">
        <v>1035</v>
      </c>
      <c r="J1729" s="1276"/>
    </row>
    <row r="1730" spans="2:10" ht="15" x14ac:dyDescent="0.25">
      <c r="B1730" s="1278"/>
      <c r="C1730" s="1279"/>
      <c r="D1730" s="1276" t="s">
        <v>1528</v>
      </c>
      <c r="E1730" s="1276"/>
      <c r="F1730" s="1276"/>
      <c r="G1730" s="1276"/>
      <c r="H1730" s="1276"/>
      <c r="I1730" s="1276"/>
      <c r="J1730" s="1276"/>
    </row>
    <row r="1731" spans="2:10" ht="15" x14ac:dyDescent="0.25">
      <c r="B1731" s="1278"/>
      <c r="C1731" s="1282"/>
      <c r="D1731" s="1280"/>
      <c r="E1731" s="1276"/>
      <c r="F1731" s="1276"/>
      <c r="G1731" s="1276"/>
      <c r="H1731" s="1276"/>
      <c r="I1731" s="1276"/>
      <c r="J1731" s="1276"/>
    </row>
    <row r="1732" spans="2:10" ht="15" x14ac:dyDescent="0.25">
      <c r="B1732" s="1278"/>
      <c r="C1732" s="1282"/>
      <c r="D1732" s="1280"/>
      <c r="E1732" s="1283" t="s">
        <v>1373</v>
      </c>
      <c r="F1732" s="1276"/>
      <c r="G1732" s="1284" t="s">
        <v>1374</v>
      </c>
      <c r="H1732" s="1285">
        <v>10</v>
      </c>
      <c r="I1732" s="1276" t="s">
        <v>1012</v>
      </c>
      <c r="J1732" s="1276"/>
    </row>
    <row r="1733" spans="2:10" ht="15" x14ac:dyDescent="0.25">
      <c r="B1733" s="1278"/>
      <c r="C1733" s="1282"/>
      <c r="D1733" s="1286" t="s">
        <v>1375</v>
      </c>
      <c r="E1733" s="1276"/>
      <c r="F1733" s="1276"/>
      <c r="G1733" s="1276"/>
      <c r="H1733" s="1276"/>
      <c r="I1733" s="1276"/>
      <c r="J1733" s="1276"/>
    </row>
    <row r="1734" spans="2:10" ht="15" x14ac:dyDescent="0.25">
      <c r="B1734" s="1278"/>
      <c r="C1734" s="1282"/>
      <c r="D1734" s="1287" t="s">
        <v>1376</v>
      </c>
      <c r="E1734" s="1288" t="s">
        <v>1529</v>
      </c>
      <c r="F1734" s="1287" t="s">
        <v>1378</v>
      </c>
      <c r="G1734" s="1287" t="s">
        <v>139</v>
      </c>
      <c r="H1734" s="1287" t="s">
        <v>140</v>
      </c>
      <c r="I1734" s="1287" t="s">
        <v>141</v>
      </c>
      <c r="J1734" s="1276"/>
    </row>
    <row r="1735" spans="2:10" ht="15" x14ac:dyDescent="0.25">
      <c r="B1735" s="1278"/>
      <c r="C1735" s="1282"/>
      <c r="D1735" s="1289"/>
      <c r="E1735" s="1290"/>
      <c r="F1735" s="1289"/>
      <c r="G1735" s="1289"/>
      <c r="H1735" s="1289" t="s">
        <v>1379</v>
      </c>
      <c r="I1735" s="1289" t="s">
        <v>1379</v>
      </c>
      <c r="J1735" s="1276"/>
    </row>
    <row r="1736" spans="2:10" ht="15" x14ac:dyDescent="0.25">
      <c r="B1736" s="1278"/>
      <c r="C1736" s="1282"/>
      <c r="D1736" s="1287">
        <v>1</v>
      </c>
      <c r="E1736" s="1291" t="s">
        <v>1530</v>
      </c>
      <c r="F1736" s="1287" t="s">
        <v>1012</v>
      </c>
      <c r="G1736" s="1292">
        <v>12</v>
      </c>
      <c r="H1736" s="1293">
        <f>Lead!K22</f>
        <v>471.6936403643885</v>
      </c>
      <c r="I1736" s="1292">
        <f>G1736*H1736</f>
        <v>5660.3236843726618</v>
      </c>
      <c r="J1736" s="1294"/>
    </row>
    <row r="1737" spans="2:10" ht="15" x14ac:dyDescent="0.25">
      <c r="B1737" s="1278"/>
      <c r="C1737" s="1282"/>
      <c r="D1737" s="1295"/>
      <c r="E1737" s="1296"/>
      <c r="F1737" s="1289"/>
      <c r="G1737" s="1297">
        <v>0</v>
      </c>
      <c r="H1737" s="1298">
        <v>0</v>
      </c>
      <c r="I1737" s="1292">
        <f>G1737*H1737</f>
        <v>0</v>
      </c>
      <c r="J1737" s="1294"/>
    </row>
    <row r="1738" spans="2:10" ht="15" x14ac:dyDescent="0.25">
      <c r="B1738" s="1278"/>
      <c r="C1738" s="1282"/>
      <c r="D1738" s="1299"/>
      <c r="E1738" s="1300" t="s">
        <v>1531</v>
      </c>
      <c r="F1738" s="1300" t="s">
        <v>1532</v>
      </c>
      <c r="G1738" s="1301"/>
      <c r="H1738" s="1302" t="s">
        <v>1382</v>
      </c>
      <c r="I1738" s="1292">
        <v>0</v>
      </c>
      <c r="J1738" s="1294"/>
    </row>
    <row r="1739" spans="2:10" ht="15" x14ac:dyDescent="0.25">
      <c r="B1739" s="1278"/>
      <c r="C1739" s="1282"/>
      <c r="D1739" s="1303"/>
      <c r="E1739" s="1304" t="s">
        <v>1381</v>
      </c>
      <c r="F1739" s="1305"/>
      <c r="G1739" s="1306"/>
      <c r="H1739" s="1307" t="s">
        <v>1382</v>
      </c>
      <c r="I1739" s="1308">
        <f>SUM(I1736:I1738)</f>
        <v>5660.3236843726618</v>
      </c>
      <c r="J1739" s="1294"/>
    </row>
    <row r="1740" spans="2:10" ht="15" x14ac:dyDescent="0.25">
      <c r="B1740" s="1278"/>
      <c r="C1740" s="1282"/>
      <c r="D1740" s="1280"/>
      <c r="E1740" s="1276"/>
      <c r="F1740" s="1276"/>
      <c r="G1740" s="1276"/>
      <c r="H1740" s="1276"/>
      <c r="I1740" s="1281"/>
      <c r="J1740" s="1294"/>
    </row>
    <row r="1741" spans="2:10" ht="15" x14ac:dyDescent="0.25">
      <c r="B1741" s="1278"/>
      <c r="C1741" s="1282"/>
      <c r="D1741" s="1286" t="s">
        <v>1383</v>
      </c>
      <c r="E1741" s="1276"/>
      <c r="F1741" s="1276"/>
      <c r="G1741" s="1276"/>
      <c r="H1741" s="1276"/>
      <c r="I1741" s="1276"/>
      <c r="J1741" s="1294"/>
    </row>
    <row r="1742" spans="2:10" ht="15" x14ac:dyDescent="0.25">
      <c r="B1742" s="1278"/>
      <c r="C1742" s="1282"/>
      <c r="D1742" s="1287" t="s">
        <v>1376</v>
      </c>
      <c r="E1742" s="1288" t="s">
        <v>284</v>
      </c>
      <c r="F1742" s="1287" t="s">
        <v>1378</v>
      </c>
      <c r="G1742" s="1287" t="s">
        <v>139</v>
      </c>
      <c r="H1742" s="1287" t="s">
        <v>140</v>
      </c>
      <c r="I1742" s="1287" t="s">
        <v>141</v>
      </c>
      <c r="J1742" s="1294"/>
    </row>
    <row r="1743" spans="2:10" ht="15" x14ac:dyDescent="0.25">
      <c r="B1743" s="1278"/>
      <c r="C1743" s="1282"/>
      <c r="D1743" s="1289"/>
      <c r="E1743" s="1290"/>
      <c r="F1743" s="1289"/>
      <c r="G1743" s="1289"/>
      <c r="H1743" s="1289" t="s">
        <v>1379</v>
      </c>
      <c r="I1743" s="1289" t="s">
        <v>1379</v>
      </c>
      <c r="J1743" s="1294"/>
    </row>
    <row r="1744" spans="2:10" ht="15" x14ac:dyDescent="0.25">
      <c r="B1744" s="1278"/>
      <c r="C1744" s="1282"/>
      <c r="D1744" s="1287">
        <v>1</v>
      </c>
      <c r="E1744" s="1309" t="s">
        <v>1533</v>
      </c>
      <c r="F1744" s="1310" t="s">
        <v>1213</v>
      </c>
      <c r="G1744" s="1311">
        <v>0.17064846416382251</v>
      </c>
      <c r="H1744" s="1292">
        <v>197.2</v>
      </c>
      <c r="I1744" s="1292">
        <f>G1744*H1744</f>
        <v>33.651877133105799</v>
      </c>
      <c r="J1744" s="1312"/>
    </row>
    <row r="1745" spans="2:10" ht="15" x14ac:dyDescent="0.25">
      <c r="B1745" s="1278"/>
      <c r="C1745" s="1282"/>
      <c r="D1745" s="1295"/>
      <c r="E1745" s="1313" t="s">
        <v>1385</v>
      </c>
      <c r="F1745" s="1314" t="s">
        <v>1213</v>
      </c>
      <c r="G1745" s="1297">
        <v>0.17064846416382251</v>
      </c>
      <c r="H1745" s="1292">
        <v>705.4</v>
      </c>
      <c r="I1745" s="1292">
        <f>G1745*H1745</f>
        <v>120.3754266211604</v>
      </c>
      <c r="J1745" s="1312"/>
    </row>
    <row r="1746" spans="2:10" ht="15" x14ac:dyDescent="0.25">
      <c r="B1746" s="1278"/>
      <c r="C1746" s="1282"/>
      <c r="D1746" s="1315"/>
      <c r="E1746" s="1316" t="s">
        <v>1387</v>
      </c>
      <c r="F1746" s="1317"/>
      <c r="G1746" s="1318"/>
      <c r="H1746" s="1302" t="s">
        <v>1382</v>
      </c>
      <c r="I1746" s="1319">
        <f>SUM(I1744:I1745)</f>
        <v>154.0273037542662</v>
      </c>
      <c r="J1746" s="1294"/>
    </row>
    <row r="1747" spans="2:10" ht="15" x14ac:dyDescent="0.25">
      <c r="B1747" s="1278"/>
      <c r="C1747" s="1282"/>
      <c r="D1747" s="1280"/>
      <c r="E1747" s="1276"/>
      <c r="F1747" s="1276"/>
      <c r="G1747" s="1276"/>
      <c r="H1747" s="1276"/>
      <c r="I1747" s="1276"/>
      <c r="J1747" s="1294"/>
    </row>
    <row r="1748" spans="2:10" ht="15" x14ac:dyDescent="0.25">
      <c r="B1748" s="1278"/>
      <c r="C1748" s="1282"/>
      <c r="D1748" s="1286" t="s">
        <v>1388</v>
      </c>
      <c r="E1748" s="1276"/>
      <c r="F1748" s="1276"/>
      <c r="G1748" s="1276"/>
      <c r="H1748" s="1276"/>
      <c r="I1748" s="1276"/>
      <c r="J1748" s="1294"/>
    </row>
    <row r="1749" spans="2:10" ht="15" x14ac:dyDescent="0.25">
      <c r="B1749" s="1278"/>
      <c r="C1749" s="1282"/>
      <c r="D1749" s="1287" t="s">
        <v>1376</v>
      </c>
      <c r="E1749" s="1288" t="s">
        <v>284</v>
      </c>
      <c r="F1749" s="1287" t="s">
        <v>1378</v>
      </c>
      <c r="G1749" s="1287" t="s">
        <v>139</v>
      </c>
      <c r="H1749" s="1287" t="s">
        <v>140</v>
      </c>
      <c r="I1749" s="1287" t="s">
        <v>141</v>
      </c>
      <c r="J1749" s="1294"/>
    </row>
    <row r="1750" spans="2:10" ht="15" x14ac:dyDescent="0.25">
      <c r="B1750" s="1278"/>
      <c r="C1750" s="1282"/>
      <c r="D1750" s="1289"/>
      <c r="E1750" s="1290"/>
      <c r="F1750" s="1320"/>
      <c r="G1750" s="1320"/>
      <c r="H1750" s="1320" t="s">
        <v>1379</v>
      </c>
      <c r="I1750" s="1289" t="s">
        <v>1379</v>
      </c>
      <c r="J1750" s="1294"/>
    </row>
    <row r="1751" spans="2:10" ht="15" x14ac:dyDescent="0.25">
      <c r="B1751" s="1278"/>
      <c r="C1751" s="1282"/>
      <c r="D1751" s="1287">
        <v>1</v>
      </c>
      <c r="E1751" s="1321" t="s">
        <v>1534</v>
      </c>
      <c r="F1751" s="1287" t="s">
        <v>1213</v>
      </c>
      <c r="G1751" s="1311">
        <v>0.17064846416382251</v>
      </c>
      <c r="H1751" s="1292">
        <v>198.4</v>
      </c>
      <c r="I1751" s="1292">
        <f>G1751*H1751</f>
        <v>33.856655290102388</v>
      </c>
      <c r="J1751" s="1294"/>
    </row>
    <row r="1752" spans="2:10" ht="15" x14ac:dyDescent="0.25">
      <c r="B1752" s="1278"/>
      <c r="C1752" s="1282"/>
      <c r="D1752" s="1320">
        <v>2</v>
      </c>
      <c r="E1752" s="1321" t="s">
        <v>1535</v>
      </c>
      <c r="F1752" s="1320" t="s">
        <v>1392</v>
      </c>
      <c r="G1752" s="1292">
        <v>0.5</v>
      </c>
      <c r="H1752" s="1292">
        <v>440</v>
      </c>
      <c r="I1752" s="1292">
        <f>G1752*H1752</f>
        <v>220</v>
      </c>
      <c r="J1752" s="1294"/>
    </row>
    <row r="1753" spans="2:10" ht="15" x14ac:dyDescent="0.25">
      <c r="B1753" s="1278"/>
      <c r="C1753" s="1282"/>
      <c r="D1753" s="1320">
        <v>3</v>
      </c>
      <c r="E1753" s="1321" t="s">
        <v>1391</v>
      </c>
      <c r="F1753" s="1320" t="s">
        <v>1392</v>
      </c>
      <c r="G1753" s="1292">
        <v>0.5</v>
      </c>
      <c r="H1753" s="1173">
        <f>H1703</f>
        <v>400</v>
      </c>
      <c r="I1753" s="1292">
        <f>G1753*H1753</f>
        <v>200</v>
      </c>
      <c r="J1753" s="1294"/>
    </row>
    <row r="1754" spans="2:10" ht="15" x14ac:dyDescent="0.25">
      <c r="B1754" s="1278"/>
      <c r="C1754" s="1282"/>
      <c r="D1754" s="1289">
        <v>4</v>
      </c>
      <c r="E1754" s="1322" t="s">
        <v>1393</v>
      </c>
      <c r="F1754" s="1289" t="s">
        <v>1392</v>
      </c>
      <c r="G1754" s="1297">
        <v>1.5</v>
      </c>
      <c r="H1754" s="1173">
        <f>H1704</f>
        <v>320</v>
      </c>
      <c r="I1754" s="1292">
        <f>G1754*H1754</f>
        <v>480</v>
      </c>
      <c r="J1754" s="1294"/>
    </row>
    <row r="1755" spans="2:10" ht="15" x14ac:dyDescent="0.25">
      <c r="B1755" s="1278"/>
      <c r="C1755" s="1282"/>
      <c r="D1755" s="1315"/>
      <c r="E1755" s="1316" t="s">
        <v>1394</v>
      </c>
      <c r="F1755" s="1317"/>
      <c r="G1755" s="1318"/>
      <c r="H1755" s="1302" t="s">
        <v>1382</v>
      </c>
      <c r="I1755" s="1308">
        <f>SUM(I1751:I1754)</f>
        <v>933.85665529010237</v>
      </c>
      <c r="J1755" s="1294"/>
    </row>
    <row r="1756" spans="2:10" ht="15" x14ac:dyDescent="0.25">
      <c r="B1756" s="1278"/>
      <c r="C1756" s="1282"/>
      <c r="D1756" s="1323" t="s">
        <v>1395</v>
      </c>
      <c r="E1756" s="1300"/>
      <c r="F1756" s="1300"/>
      <c r="G1756" s="1324">
        <f>I1755/H1732</f>
        <v>93.38566552901024</v>
      </c>
      <c r="H1756" s="1276"/>
      <c r="I1756" s="1276"/>
      <c r="J1756" s="1294"/>
    </row>
    <row r="1757" spans="2:10" ht="15" x14ac:dyDescent="0.25">
      <c r="B1757" s="1278"/>
      <c r="C1757" s="1282"/>
      <c r="D1757" s="1300" t="s">
        <v>2104</v>
      </c>
      <c r="E1757" s="1300"/>
      <c r="F1757" s="1943">
        <f>G1766</f>
        <v>0.13614999999999999</v>
      </c>
      <c r="G1757" s="1324">
        <f>G1756*F1757</f>
        <v>12.714458361774744</v>
      </c>
      <c r="H1757" s="1276"/>
      <c r="I1757" s="1276"/>
      <c r="J1757" s="1294"/>
    </row>
    <row r="1758" spans="2:10" ht="15" x14ac:dyDescent="0.25">
      <c r="B1758" s="1278"/>
      <c r="C1758" s="1282"/>
      <c r="D1758" s="1300" t="s">
        <v>2103</v>
      </c>
      <c r="E1758" s="1300"/>
      <c r="F1758" s="1300"/>
      <c r="G1758" s="1325">
        <f>SUM(G1756:G1757)</f>
        <v>106.10012389078499</v>
      </c>
      <c r="H1758" s="1326"/>
      <c r="I1758" s="1276"/>
      <c r="J1758" s="1294"/>
    </row>
    <row r="1759" spans="2:10" ht="15" x14ac:dyDescent="0.25">
      <c r="B1759" s="1278"/>
      <c r="C1759" s="1282"/>
      <c r="D1759" s="1280"/>
      <c r="E1759" s="1276"/>
      <c r="F1759" s="1276"/>
      <c r="G1759" s="1276"/>
      <c r="H1759" s="1276"/>
      <c r="I1759" s="1276"/>
      <c r="J1759" s="1294"/>
    </row>
    <row r="1760" spans="2:10" ht="15" x14ac:dyDescent="0.25">
      <c r="B1760" s="1278"/>
      <c r="C1760" s="1282"/>
      <c r="D1760" s="1277" t="s">
        <v>1396</v>
      </c>
      <c r="E1760" s="1276"/>
      <c r="F1760" s="1276"/>
      <c r="G1760" s="1276"/>
      <c r="H1760" s="1276"/>
      <c r="I1760" s="1276"/>
      <c r="J1760" s="1294"/>
    </row>
    <row r="1761" spans="2:12" ht="15" x14ac:dyDescent="0.25">
      <c r="B1761" s="1278"/>
      <c r="C1761" s="1282"/>
      <c r="D1761" s="1276" t="s">
        <v>1515</v>
      </c>
      <c r="E1761" s="1276"/>
      <c r="F1761" s="1276"/>
      <c r="G1761" s="1276"/>
      <c r="H1761" s="1284" t="s">
        <v>1382</v>
      </c>
      <c r="I1761" s="1281">
        <f>I1739</f>
        <v>5660.3236843726618</v>
      </c>
      <c r="J1761" s="1294"/>
    </row>
    <row r="1762" spans="2:12" ht="15" x14ac:dyDescent="0.25">
      <c r="B1762" s="1278"/>
      <c r="C1762" s="1282"/>
      <c r="D1762" s="1276" t="s">
        <v>1398</v>
      </c>
      <c r="E1762" s="1276"/>
      <c r="F1762" s="1276"/>
      <c r="G1762" s="1276"/>
      <c r="H1762" s="1284" t="s">
        <v>1382</v>
      </c>
      <c r="I1762" s="1281">
        <f>I1746</f>
        <v>154.0273037542662</v>
      </c>
      <c r="J1762" s="1294"/>
    </row>
    <row r="1763" spans="2:12" ht="15" x14ac:dyDescent="0.25">
      <c r="B1763" s="1278"/>
      <c r="C1763" s="1282"/>
      <c r="D1763" s="1276" t="s">
        <v>1399</v>
      </c>
      <c r="E1763" s="1276"/>
      <c r="F1763" s="1276"/>
      <c r="G1763" s="1276"/>
      <c r="H1763" s="1284" t="s">
        <v>1382</v>
      </c>
      <c r="I1763" s="1327">
        <f>I1755</f>
        <v>933.85665529010237</v>
      </c>
      <c r="J1763" s="1275" t="s">
        <v>1400</v>
      </c>
    </row>
    <row r="1764" spans="2:12" ht="15" x14ac:dyDescent="0.25">
      <c r="B1764" s="1278"/>
      <c r="C1764" s="1282"/>
      <c r="D1764" s="1276"/>
      <c r="E1764" s="129" t="str">
        <f>+IF($I$4=0%,"---","Municipal allowance")</f>
        <v>Municipal allowance</v>
      </c>
      <c r="F1764" s="928">
        <f>$I$4</f>
        <v>0.2</v>
      </c>
      <c r="G1764" s="1275"/>
      <c r="H1764" s="1328"/>
      <c r="I1764" s="1329">
        <f>I1763*F1764</f>
        <v>186.77133105802048</v>
      </c>
      <c r="J1764" s="1275"/>
    </row>
    <row r="1765" spans="2:12" ht="15" x14ac:dyDescent="0.25">
      <c r="B1765" s="1278"/>
      <c r="C1765" s="1282"/>
      <c r="D1765" s="1280"/>
      <c r="E1765" s="1276"/>
      <c r="F1765" s="1276"/>
      <c r="G1765" s="1284"/>
      <c r="H1765" s="1284" t="s">
        <v>1457</v>
      </c>
      <c r="I1765" s="1330">
        <f>SUM(I1761:I1764)</f>
        <v>6934.9789744750506</v>
      </c>
      <c r="J1765" s="1294"/>
    </row>
    <row r="1766" spans="2:12" ht="15" x14ac:dyDescent="0.25">
      <c r="B1766" s="1278"/>
      <c r="C1766" s="1282"/>
      <c r="D1766" s="2053" t="s">
        <v>2106</v>
      </c>
      <c r="E1766" s="2053"/>
      <c r="F1766" s="1276"/>
      <c r="G1766" s="1940">
        <f>+$I$5</f>
        <v>0.13614999999999999</v>
      </c>
      <c r="H1766" s="1276" t="s">
        <v>1382</v>
      </c>
      <c r="I1766" s="1331">
        <f>I1765*G1766</f>
        <v>944.19738737477803</v>
      </c>
      <c r="J1766" s="1294"/>
    </row>
    <row r="1767" spans="2:12" ht="18" x14ac:dyDescent="0.25">
      <c r="B1767" s="1278"/>
      <c r="C1767" s="1282"/>
      <c r="D1767" s="1277" t="s">
        <v>1402</v>
      </c>
      <c r="E1767" s="1332"/>
      <c r="F1767" s="1331">
        <f>H1732</f>
        <v>10</v>
      </c>
      <c r="G1767" s="1331" t="s">
        <v>1012</v>
      </c>
      <c r="H1767" s="1276" t="s">
        <v>1382</v>
      </c>
      <c r="I1767" s="1331">
        <f>SUM(I1765:I1766)</f>
        <v>7879.1763618498289</v>
      </c>
      <c r="J1767" s="1294"/>
    </row>
    <row r="1768" spans="2:12" ht="18" x14ac:dyDescent="0.25">
      <c r="B1768" s="1278"/>
      <c r="C1768" s="1282"/>
      <c r="D1768" s="1277" t="s">
        <v>1403</v>
      </c>
      <c r="E1768" s="1331" t="s">
        <v>1012</v>
      </c>
      <c r="F1768" s="1277" t="s">
        <v>1536</v>
      </c>
      <c r="G1768" s="1332"/>
      <c r="H1768" s="1276" t="s">
        <v>1022</v>
      </c>
      <c r="I1768" s="1170">
        <f>ROUND(I1767/F1767,1)</f>
        <v>787.9</v>
      </c>
      <c r="J1768" s="1333"/>
    </row>
    <row r="1770" spans="2:12" ht="23.25" x14ac:dyDescent="0.2">
      <c r="B1770" s="2041" t="s">
        <v>1537</v>
      </c>
      <c r="C1770" s="1127" t="s">
        <v>1538</v>
      </c>
      <c r="D1770" s="1128" t="s">
        <v>1539</v>
      </c>
      <c r="E1770" s="1129"/>
      <c r="F1770" s="1128"/>
      <c r="G1770" s="1128"/>
      <c r="H1770" s="1128"/>
      <c r="I1770" s="1128"/>
      <c r="J1770" s="1128"/>
      <c r="K1770" s="1128"/>
      <c r="L1770" s="1128"/>
    </row>
    <row r="1771" spans="2:12" x14ac:dyDescent="0.2">
      <c r="B1771" s="2042"/>
      <c r="C1771" s="1131"/>
      <c r="D1771" s="1128" t="s">
        <v>1540</v>
      </c>
      <c r="E1771" s="1129"/>
      <c r="F1771" s="1128"/>
      <c r="G1771" s="1128"/>
      <c r="H1771" s="1128"/>
      <c r="I1771" s="1128"/>
      <c r="J1771" s="1128"/>
      <c r="K1771" s="1128"/>
      <c r="L1771" s="1128"/>
    </row>
    <row r="1772" spans="2:12" x14ac:dyDescent="0.2">
      <c r="B1772" s="2042"/>
      <c r="C1772" s="1131"/>
      <c r="D1772" s="1178" t="s">
        <v>1541</v>
      </c>
      <c r="E1772" s="1129"/>
      <c r="F1772" s="1128"/>
      <c r="G1772" s="1128"/>
      <c r="H1772" s="1128"/>
      <c r="I1772" s="1128"/>
      <c r="J1772" s="1128"/>
      <c r="K1772" s="1128"/>
      <c r="L1772" s="1128"/>
    </row>
    <row r="1773" spans="2:12" x14ac:dyDescent="0.2">
      <c r="B1773" s="2043"/>
      <c r="C1773" s="1131"/>
      <c r="D1773" s="1128"/>
      <c r="E1773" s="1129"/>
      <c r="F1773" s="1128"/>
      <c r="G1773" s="1128"/>
      <c r="H1773" s="1128"/>
      <c r="I1773" s="1128"/>
      <c r="J1773" s="1128"/>
      <c r="K1773" s="1128"/>
      <c r="L1773" s="1128"/>
    </row>
    <row r="1774" spans="2:12" x14ac:dyDescent="0.2">
      <c r="B1774" s="1191"/>
      <c r="C1774" s="1131" t="s">
        <v>1328</v>
      </c>
      <c r="D1774" s="1128" t="s">
        <v>1542</v>
      </c>
      <c r="E1774" s="1129"/>
      <c r="F1774" s="1128"/>
      <c r="G1774" s="1128"/>
      <c r="H1774" s="1132"/>
      <c r="I1774" s="1145"/>
      <c r="J1774" s="1128"/>
      <c r="K1774" s="1128"/>
      <c r="L1774" s="1128"/>
    </row>
    <row r="1775" spans="2:12" x14ac:dyDescent="0.2">
      <c r="B1775" s="1191"/>
      <c r="C1775" s="1130"/>
      <c r="D1775" s="1128" t="s">
        <v>1543</v>
      </c>
      <c r="E1775" s="1129"/>
      <c r="F1775" s="1128"/>
      <c r="G1775" s="1128"/>
      <c r="H1775" s="1134">
        <v>100</v>
      </c>
      <c r="I1775" s="1128" t="s">
        <v>1331</v>
      </c>
      <c r="J1775" s="1128"/>
      <c r="K1775" s="1128"/>
      <c r="L1775" s="1128"/>
    </row>
    <row r="1776" spans="2:12" x14ac:dyDescent="0.2">
      <c r="B1776" s="1191"/>
      <c r="C1776" s="1130"/>
      <c r="D1776" s="1128" t="s">
        <v>1544</v>
      </c>
      <c r="E1776" s="1129"/>
      <c r="F1776" s="1128"/>
      <c r="G1776" s="1128"/>
      <c r="H1776" s="1128"/>
      <c r="I1776" s="1128"/>
      <c r="J1776" s="1128"/>
      <c r="K1776" s="1128"/>
      <c r="L1776" s="1128"/>
    </row>
    <row r="1777" spans="2:12" x14ac:dyDescent="0.2">
      <c r="B1777" s="1191"/>
      <c r="C1777" s="1130"/>
      <c r="D1777" s="1128" t="s">
        <v>1545</v>
      </c>
      <c r="E1777" s="1129"/>
      <c r="F1777" s="1128"/>
      <c r="G1777" s="1128"/>
      <c r="H1777" s="1128"/>
      <c r="I1777" s="1128"/>
      <c r="J1777" s="1128"/>
      <c r="K1777" s="1128"/>
      <c r="L1777" s="1128"/>
    </row>
    <row r="1778" spans="2:12" x14ac:dyDescent="0.2">
      <c r="B1778" s="1191"/>
      <c r="C1778" s="1140"/>
      <c r="D1778" s="1132"/>
      <c r="E1778" s="1129"/>
      <c r="F1778" s="1128"/>
      <c r="G1778" s="1128"/>
      <c r="H1778" s="1128"/>
      <c r="I1778" s="1128"/>
      <c r="J1778" s="1128"/>
      <c r="K1778" s="1128"/>
      <c r="L1778" s="1128"/>
    </row>
    <row r="1779" spans="2:12" x14ac:dyDescent="0.2">
      <c r="B1779" s="1191"/>
      <c r="C1779" s="1140"/>
      <c r="D1779" s="1132"/>
      <c r="E1779" s="1334" t="s">
        <v>1373</v>
      </c>
      <c r="F1779" s="1178"/>
      <c r="G1779" s="1273" t="s">
        <v>1374</v>
      </c>
      <c r="H1779" s="1335">
        <v>100</v>
      </c>
      <c r="I1779" s="1178" t="s">
        <v>1085</v>
      </c>
      <c r="J1779" s="1128"/>
      <c r="K1779" s="1128"/>
      <c r="L1779" s="1128"/>
    </row>
    <row r="1780" spans="2:12" x14ac:dyDescent="0.2">
      <c r="B1780" s="1191"/>
      <c r="C1780" s="1140"/>
      <c r="D1780" s="1145" t="s">
        <v>1375</v>
      </c>
      <c r="E1780" s="1129"/>
      <c r="F1780" s="1128"/>
      <c r="G1780" s="1128"/>
      <c r="H1780" s="1128"/>
      <c r="I1780" s="1128"/>
      <c r="J1780" s="1128"/>
      <c r="K1780" s="1128"/>
      <c r="L1780" s="1128"/>
    </row>
    <row r="1781" spans="2:12" x14ac:dyDescent="0.2">
      <c r="B1781" s="1191"/>
      <c r="C1781" s="1140"/>
      <c r="D1781" s="1146" t="s">
        <v>1376</v>
      </c>
      <c r="E1781" s="1147" t="s">
        <v>1377</v>
      </c>
      <c r="F1781" s="1146" t="s">
        <v>1378</v>
      </c>
      <c r="G1781" s="1146" t="s">
        <v>139</v>
      </c>
      <c r="H1781" s="1146" t="s">
        <v>140</v>
      </c>
      <c r="I1781" s="1146" t="s">
        <v>141</v>
      </c>
      <c r="J1781" s="1128"/>
      <c r="K1781" s="1128"/>
      <c r="L1781" s="1128"/>
    </row>
    <row r="1782" spans="2:12" x14ac:dyDescent="0.2">
      <c r="B1782" s="1191"/>
      <c r="C1782" s="1140"/>
      <c r="D1782" s="1148"/>
      <c r="E1782" s="1149"/>
      <c r="F1782" s="1148"/>
      <c r="G1782" s="1148"/>
      <c r="H1782" s="1148" t="s">
        <v>1379</v>
      </c>
      <c r="I1782" s="1148" t="s">
        <v>1379</v>
      </c>
      <c r="J1782" s="1128"/>
      <c r="K1782" s="1128"/>
      <c r="L1782" s="1128"/>
    </row>
    <row r="1783" spans="2:12" x14ac:dyDescent="0.2">
      <c r="B1783" s="1191"/>
      <c r="C1783" s="1140"/>
      <c r="D1783" s="1146">
        <v>1</v>
      </c>
      <c r="E1783" s="1154" t="s">
        <v>1546</v>
      </c>
      <c r="F1783" s="1146" t="s">
        <v>1012</v>
      </c>
      <c r="G1783" s="1151">
        <f>H1775</f>
        <v>100</v>
      </c>
      <c r="H1783" s="1215">
        <f>Lead!K13</f>
        <v>697.02661884434269</v>
      </c>
      <c r="I1783" s="1151">
        <f>G1783*H1783</f>
        <v>69702.661884434274</v>
      </c>
      <c r="J1783" s="1128"/>
      <c r="K1783" s="1128"/>
      <c r="L1783" s="1128"/>
    </row>
    <row r="1784" spans="2:12" x14ac:dyDescent="0.2">
      <c r="B1784" s="1191"/>
      <c r="C1784" s="1140"/>
      <c r="D1784" s="1336"/>
      <c r="E1784" s="1154"/>
      <c r="F1784" s="1148"/>
      <c r="G1784" s="1151">
        <v>0</v>
      </c>
      <c r="H1784" s="1152">
        <v>0</v>
      </c>
      <c r="I1784" s="1151">
        <f>G1784*H1784</f>
        <v>0</v>
      </c>
      <c r="J1784" s="1128"/>
      <c r="K1784" s="1128"/>
      <c r="L1784" s="1128"/>
    </row>
    <row r="1785" spans="2:12" ht="38.25" x14ac:dyDescent="0.2">
      <c r="B1785" s="1191"/>
      <c r="C1785" s="1140"/>
      <c r="D1785" s="1337"/>
      <c r="E1785" s="1171" t="s">
        <v>1547</v>
      </c>
      <c r="F1785" s="1338"/>
      <c r="G1785" s="1172"/>
      <c r="H1785" s="1160" t="s">
        <v>1382</v>
      </c>
      <c r="I1785" s="1151">
        <v>0</v>
      </c>
      <c r="J1785" s="1128"/>
      <c r="K1785" s="1128"/>
      <c r="L1785" s="1128"/>
    </row>
    <row r="1786" spans="2:12" x14ac:dyDescent="0.2">
      <c r="B1786" s="1191"/>
      <c r="C1786" s="1140"/>
      <c r="D1786" s="1156"/>
      <c r="E1786" s="1157" t="s">
        <v>1381</v>
      </c>
      <c r="F1786" s="1158"/>
      <c r="G1786" s="1159"/>
      <c r="H1786" s="1160" t="s">
        <v>1382</v>
      </c>
      <c r="I1786" s="1170">
        <f>SUM(I1783:I1785)</f>
        <v>69702.661884434274</v>
      </c>
      <c r="J1786" s="1128"/>
      <c r="K1786" s="1128"/>
      <c r="L1786" s="1128"/>
    </row>
    <row r="1787" spans="2:12" x14ac:dyDescent="0.2">
      <c r="B1787" s="1191"/>
      <c r="C1787" s="1140"/>
      <c r="D1787" s="1132"/>
      <c r="E1787" s="1129"/>
      <c r="F1787" s="1128"/>
      <c r="G1787" s="1128"/>
      <c r="H1787" s="1128"/>
      <c r="I1787" s="1128"/>
      <c r="J1787" s="1128"/>
      <c r="K1787" s="1128"/>
      <c r="L1787" s="1128"/>
    </row>
    <row r="1788" spans="2:12" x14ac:dyDescent="0.2">
      <c r="B1788" s="1191"/>
      <c r="C1788" s="1140"/>
      <c r="D1788" s="1145" t="s">
        <v>1383</v>
      </c>
      <c r="E1788" s="1129"/>
      <c r="F1788" s="1128"/>
      <c r="G1788" s="1128"/>
      <c r="H1788" s="1128"/>
      <c r="I1788" s="1128"/>
      <c r="J1788" s="1128"/>
      <c r="K1788" s="1128"/>
      <c r="L1788" s="1128"/>
    </row>
    <row r="1789" spans="2:12" x14ac:dyDescent="0.2">
      <c r="B1789" s="1191"/>
      <c r="C1789" s="1140"/>
      <c r="D1789" s="1146" t="s">
        <v>1376</v>
      </c>
      <c r="E1789" s="1147" t="s">
        <v>284</v>
      </c>
      <c r="F1789" s="1146" t="s">
        <v>1378</v>
      </c>
      <c r="G1789" s="1146" t="s">
        <v>139</v>
      </c>
      <c r="H1789" s="1146" t="s">
        <v>140</v>
      </c>
      <c r="I1789" s="1146" t="s">
        <v>141</v>
      </c>
      <c r="J1789" s="1128"/>
      <c r="K1789" s="1128"/>
      <c r="L1789" s="1128"/>
    </row>
    <row r="1790" spans="2:12" x14ac:dyDescent="0.2">
      <c r="B1790" s="1191"/>
      <c r="C1790" s="1140"/>
      <c r="D1790" s="1148"/>
      <c r="E1790" s="1149"/>
      <c r="F1790" s="1148"/>
      <c r="G1790" s="1148"/>
      <c r="H1790" s="1148" t="s">
        <v>1379</v>
      </c>
      <c r="I1790" s="1148" t="s">
        <v>1379</v>
      </c>
      <c r="J1790" s="1128"/>
      <c r="K1790" s="1128"/>
      <c r="L1790" s="1128"/>
    </row>
    <row r="1791" spans="2:12" x14ac:dyDescent="0.2">
      <c r="B1791" s="1191"/>
      <c r="C1791" s="1140"/>
      <c r="D1791" s="1146">
        <v>1</v>
      </c>
      <c r="E1791" s="1339" t="s">
        <v>1548</v>
      </c>
      <c r="F1791" s="1146"/>
      <c r="G1791" s="1266">
        <v>0</v>
      </c>
      <c r="H1791" s="1340">
        <v>0</v>
      </c>
      <c r="I1791" s="1151">
        <f>G1791*H1791</f>
        <v>0</v>
      </c>
      <c r="J1791" s="1128"/>
      <c r="K1791" s="1128"/>
      <c r="L1791" s="1128"/>
    </row>
    <row r="1792" spans="2:12" x14ac:dyDescent="0.2">
      <c r="B1792" s="1191"/>
      <c r="C1792" s="1140"/>
      <c r="D1792" s="1336"/>
      <c r="E1792" s="1175"/>
      <c r="F1792" s="1155"/>
      <c r="G1792" s="1266">
        <v>0</v>
      </c>
      <c r="H1792" s="1340">
        <v>0</v>
      </c>
      <c r="I1792" s="1151">
        <f>G1792*H1792</f>
        <v>0</v>
      </c>
      <c r="J1792" s="1128"/>
      <c r="K1792" s="1128"/>
      <c r="L1792" s="1128"/>
    </row>
    <row r="1793" spans="2:12" ht="25.5" x14ac:dyDescent="0.2">
      <c r="B1793" s="1191"/>
      <c r="C1793" s="1140"/>
      <c r="D1793" s="1166"/>
      <c r="E1793" s="1167" t="s">
        <v>1387</v>
      </c>
      <c r="F1793" s="1168"/>
      <c r="G1793" s="1169"/>
      <c r="H1793" s="1160" t="s">
        <v>1382</v>
      </c>
      <c r="I1793" s="1161">
        <f>SUM(I1791:I1792)</f>
        <v>0</v>
      </c>
      <c r="J1793" s="1128"/>
      <c r="K1793" s="1128"/>
      <c r="L1793" s="1128"/>
    </row>
    <row r="1794" spans="2:12" x14ac:dyDescent="0.2">
      <c r="B1794" s="1191"/>
      <c r="C1794" s="1140"/>
      <c r="D1794" s="1132"/>
      <c r="E1794" s="1129"/>
      <c r="F1794" s="1128"/>
      <c r="G1794" s="1128"/>
      <c r="H1794" s="1128"/>
      <c r="I1794" s="1128"/>
      <c r="J1794" s="1128"/>
      <c r="K1794" s="1128"/>
      <c r="L1794" s="1128"/>
    </row>
    <row r="1795" spans="2:12" x14ac:dyDescent="0.2">
      <c r="B1795" s="1191"/>
      <c r="C1795" s="1140"/>
      <c r="D1795" s="1145" t="s">
        <v>1388</v>
      </c>
      <c r="E1795" s="1129"/>
      <c r="F1795" s="1128"/>
      <c r="G1795" s="1128"/>
      <c r="H1795" s="1128"/>
      <c r="I1795" s="1128"/>
      <c r="J1795" s="1128"/>
      <c r="K1795" s="1128"/>
      <c r="L1795" s="1128"/>
    </row>
    <row r="1796" spans="2:12" x14ac:dyDescent="0.2">
      <c r="B1796" s="1191"/>
      <c r="C1796" s="1140"/>
      <c r="D1796" s="1146" t="s">
        <v>1376</v>
      </c>
      <c r="E1796" s="1147" t="s">
        <v>284</v>
      </c>
      <c r="F1796" s="1146" t="s">
        <v>1378</v>
      </c>
      <c r="G1796" s="1146" t="s">
        <v>139</v>
      </c>
      <c r="H1796" s="1146" t="s">
        <v>140</v>
      </c>
      <c r="I1796" s="1146" t="s">
        <v>141</v>
      </c>
      <c r="J1796" s="1128"/>
      <c r="K1796" s="1128"/>
      <c r="L1796" s="1128"/>
    </row>
    <row r="1797" spans="2:12" x14ac:dyDescent="0.2">
      <c r="B1797" s="1191"/>
      <c r="C1797" s="1140"/>
      <c r="D1797" s="1148"/>
      <c r="E1797" s="1149"/>
      <c r="F1797" s="1155"/>
      <c r="G1797" s="1148"/>
      <c r="H1797" s="1148" t="s">
        <v>1379</v>
      </c>
      <c r="I1797" s="1148" t="s">
        <v>1379</v>
      </c>
      <c r="J1797" s="1128"/>
      <c r="K1797" s="1128"/>
      <c r="L1797" s="1128"/>
    </row>
    <row r="1798" spans="2:12" x14ac:dyDescent="0.2">
      <c r="B1798" s="1191"/>
      <c r="C1798" s="1140"/>
      <c r="D1798" s="1155">
        <v>1</v>
      </c>
      <c r="E1798" s="1171" t="s">
        <v>1455</v>
      </c>
      <c r="F1798" s="1146" t="s">
        <v>1392</v>
      </c>
      <c r="G1798" s="1172">
        <v>20</v>
      </c>
      <c r="H1798" s="1341">
        <f>SSR!$E$10</f>
        <v>320</v>
      </c>
      <c r="I1798" s="1151">
        <f>G1798*H1798</f>
        <v>6400</v>
      </c>
      <c r="J1798" s="1128"/>
      <c r="K1798" s="1128"/>
      <c r="L1798" s="1128"/>
    </row>
    <row r="1799" spans="2:12" x14ac:dyDescent="0.2">
      <c r="B1799" s="1191"/>
      <c r="C1799" s="1140"/>
      <c r="D1799" s="1156"/>
      <c r="E1799" s="1157" t="s">
        <v>1394</v>
      </c>
      <c r="F1799" s="1158"/>
      <c r="G1799" s="1159"/>
      <c r="H1799" s="1160" t="s">
        <v>1382</v>
      </c>
      <c r="I1799" s="1170">
        <f>SUM(I1798)</f>
        <v>6400</v>
      </c>
      <c r="J1799" s="1128"/>
      <c r="K1799" s="1128"/>
      <c r="L1799" s="1128"/>
    </row>
    <row r="1800" spans="2:12" x14ac:dyDescent="0.2">
      <c r="B1800" s="1191"/>
      <c r="C1800" s="1140"/>
      <c r="D1800" s="1174" t="s">
        <v>1395</v>
      </c>
      <c r="E1800" s="1129"/>
      <c r="F1800" s="1174"/>
      <c r="G1800" s="1176">
        <f>I1799/H1779</f>
        <v>64</v>
      </c>
      <c r="H1800" s="1128"/>
      <c r="I1800" s="1128"/>
      <c r="J1800" s="1128"/>
      <c r="K1800" s="1128"/>
      <c r="L1800" s="1128"/>
    </row>
    <row r="1801" spans="2:12" x14ac:dyDescent="0.2">
      <c r="B1801" s="1191"/>
      <c r="C1801" s="1140"/>
      <c r="D1801" s="1174" t="s">
        <v>2104</v>
      </c>
      <c r="E1801" s="1129"/>
      <c r="F1801" s="1944">
        <f>G1810</f>
        <v>0.13614999999999999</v>
      </c>
      <c r="G1801" s="1176">
        <f>G1800*F1801</f>
        <v>8.7135999999999996</v>
      </c>
      <c r="H1801" s="1128"/>
      <c r="I1801" s="1128"/>
      <c r="J1801" s="1128"/>
      <c r="K1801" s="1128"/>
      <c r="L1801" s="1128"/>
    </row>
    <row r="1802" spans="2:12" x14ac:dyDescent="0.2">
      <c r="B1802" s="1191"/>
      <c r="C1802" s="1140"/>
      <c r="D1802" s="1174" t="s">
        <v>2103</v>
      </c>
      <c r="E1802" s="1129"/>
      <c r="F1802" s="1174"/>
      <c r="G1802" s="1177">
        <f>SUM(G1800:G1801)</f>
        <v>72.7136</v>
      </c>
      <c r="H1802" s="1128"/>
      <c r="I1802" s="1128"/>
      <c r="J1802" s="1128"/>
      <c r="K1802" s="1128"/>
      <c r="L1802" s="1128"/>
    </row>
    <row r="1803" spans="2:12" x14ac:dyDescent="0.2">
      <c r="B1803" s="1191"/>
      <c r="C1803" s="1140"/>
      <c r="D1803" s="1128"/>
      <c r="E1803" s="1129"/>
      <c r="F1803" s="1128"/>
      <c r="G1803" s="1128"/>
      <c r="H1803" s="1128"/>
      <c r="I1803" s="1128"/>
      <c r="J1803" s="1128"/>
      <c r="K1803" s="1128"/>
      <c r="L1803" s="1128"/>
    </row>
    <row r="1804" spans="2:12" x14ac:dyDescent="0.2">
      <c r="B1804" s="1191"/>
      <c r="C1804" s="1140"/>
      <c r="D1804" s="1178" t="s">
        <v>1396</v>
      </c>
      <c r="E1804" s="1129"/>
      <c r="F1804" s="1128"/>
      <c r="G1804" s="1128"/>
      <c r="H1804" s="1128"/>
      <c r="I1804" s="1128"/>
      <c r="J1804" s="1128"/>
      <c r="K1804" s="1128"/>
      <c r="L1804" s="1128"/>
    </row>
    <row r="1805" spans="2:12" x14ac:dyDescent="0.2">
      <c r="B1805" s="1191"/>
      <c r="C1805" s="1140"/>
      <c r="D1805" s="1128" t="s">
        <v>1515</v>
      </c>
      <c r="E1805" s="1129"/>
      <c r="F1805" s="1128"/>
      <c r="G1805" s="1128"/>
      <c r="H1805" s="1143" t="s">
        <v>1382</v>
      </c>
      <c r="I1805" s="1134">
        <f>I1786</f>
        <v>69702.661884434274</v>
      </c>
      <c r="J1805" s="1128"/>
      <c r="K1805" s="1128"/>
      <c r="L1805" s="1128"/>
    </row>
    <row r="1806" spans="2:12" x14ac:dyDescent="0.2">
      <c r="B1806" s="1191"/>
      <c r="C1806" s="1140"/>
      <c r="D1806" s="1128" t="s">
        <v>1398</v>
      </c>
      <c r="E1806" s="1129"/>
      <c r="F1806" s="1128"/>
      <c r="G1806" s="1128"/>
      <c r="H1806" s="1143" t="s">
        <v>1382</v>
      </c>
      <c r="I1806" s="1134">
        <f>I1793</f>
        <v>0</v>
      </c>
      <c r="J1806" s="1128"/>
      <c r="K1806" s="1128"/>
      <c r="L1806" s="1128"/>
    </row>
    <row r="1807" spans="2:12" x14ac:dyDescent="0.2">
      <c r="B1807" s="1191"/>
      <c r="C1807" s="1140"/>
      <c r="D1807" s="1128" t="s">
        <v>1399</v>
      </c>
      <c r="E1807" s="1129"/>
      <c r="F1807" s="1128"/>
      <c r="G1807" s="1128"/>
      <c r="H1807" s="1143" t="s">
        <v>1382</v>
      </c>
      <c r="I1807" s="1179">
        <f>I1799</f>
        <v>6400</v>
      </c>
      <c r="J1807" s="1128" t="s">
        <v>1400</v>
      </c>
      <c r="K1807" s="1128"/>
      <c r="L1807" s="1128"/>
    </row>
    <row r="1808" spans="2:12" x14ac:dyDescent="0.2">
      <c r="B1808" s="1191"/>
      <c r="C1808" s="1140"/>
      <c r="D1808" s="1128"/>
      <c r="E1808" s="129" t="str">
        <f>+IF($I$4=0%,"---","Municipal allowance")</f>
        <v>Municipal allowance</v>
      </c>
      <c r="F1808" s="928">
        <f>$I$4</f>
        <v>0.2</v>
      </c>
      <c r="G1808" s="1128"/>
      <c r="H1808" s="1143"/>
      <c r="I1808" s="1179">
        <f>I1807*F1808</f>
        <v>1280</v>
      </c>
      <c r="J1808" s="1128"/>
      <c r="K1808" s="1128"/>
      <c r="L1808" s="1128"/>
    </row>
    <row r="1809" spans="2:12" x14ac:dyDescent="0.2">
      <c r="B1809" s="1191"/>
      <c r="C1809" s="1140"/>
      <c r="D1809" s="1132"/>
      <c r="E1809" s="1129"/>
      <c r="F1809" s="1128"/>
      <c r="G1809" s="1272"/>
      <c r="H1809" s="1143" t="s">
        <v>1457</v>
      </c>
      <c r="I1809" s="1181">
        <f>SUM(I1805:I1808)</f>
        <v>77382.661884434274</v>
      </c>
      <c r="J1809" s="1128"/>
      <c r="K1809" s="1128"/>
      <c r="L1809" s="1128"/>
    </row>
    <row r="1810" spans="2:12" x14ac:dyDescent="0.2">
      <c r="B1810" s="1191"/>
      <c r="C1810" s="1140"/>
      <c r="D1810" s="2040" t="s">
        <v>2105</v>
      </c>
      <c r="E1810" s="2040"/>
      <c r="F1810" s="2040"/>
      <c r="G1810" s="1940">
        <f>+$I$5</f>
        <v>0.13614999999999999</v>
      </c>
      <c r="H1810" s="1143" t="s">
        <v>1382</v>
      </c>
      <c r="I1810" s="1174">
        <f>I1809*G1810</f>
        <v>10535.649415565726</v>
      </c>
      <c r="J1810" s="1128"/>
      <c r="K1810" s="1128"/>
      <c r="L1810" s="1128"/>
    </row>
    <row r="1811" spans="2:12" x14ac:dyDescent="0.2">
      <c r="B1811" s="1191"/>
      <c r="C1811" s="1140"/>
      <c r="D1811" s="1128" t="s">
        <v>1402</v>
      </c>
      <c r="E1811" s="1129"/>
      <c r="F1811" s="1182">
        <v>100</v>
      </c>
      <c r="G1811" s="1182" t="s">
        <v>1085</v>
      </c>
      <c r="H1811" s="1143" t="s">
        <v>1382</v>
      </c>
      <c r="I1811" s="1182">
        <f>SUM(I1809:I1810)</f>
        <v>87918.311300000001</v>
      </c>
      <c r="J1811" s="1128"/>
      <c r="K1811" s="1128"/>
      <c r="L1811" s="1128"/>
    </row>
    <row r="1812" spans="2:12" x14ac:dyDescent="0.2">
      <c r="B1812" s="1191"/>
      <c r="C1812" s="1140"/>
      <c r="D1812" s="1183" t="s">
        <v>1403</v>
      </c>
      <c r="E1812" s="1184" t="s">
        <v>1085</v>
      </c>
      <c r="F1812" s="1178" t="s">
        <v>1549</v>
      </c>
      <c r="G1812" s="1128"/>
      <c r="H1812" s="1143" t="s">
        <v>1022</v>
      </c>
      <c r="I1812" s="1170">
        <f>ROUND(I1811/F1811,1)</f>
        <v>879.2</v>
      </c>
      <c r="J1812" s="1273"/>
      <c r="K1812" s="1128"/>
      <c r="L1812" s="1128"/>
    </row>
    <row r="1813" spans="2:12" x14ac:dyDescent="0.2">
      <c r="B1813" s="1191"/>
      <c r="C1813" s="1140"/>
      <c r="D1813" s="1132"/>
      <c r="E1813" s="1129"/>
      <c r="F1813" s="1128"/>
      <c r="G1813" s="1128"/>
      <c r="H1813" s="1128"/>
      <c r="I1813" s="1128"/>
      <c r="J1813" s="1128"/>
      <c r="K1813" s="1128"/>
      <c r="L1813" s="1128"/>
    </row>
    <row r="1814" spans="2:12" x14ac:dyDescent="0.2">
      <c r="B1814" s="1191"/>
      <c r="C1814" s="1140"/>
      <c r="D1814" s="1132"/>
      <c r="E1814" s="1129"/>
      <c r="F1814" s="1128"/>
      <c r="G1814" s="1128"/>
      <c r="H1814" s="1128"/>
      <c r="I1814" s="1128"/>
      <c r="J1814" s="1128"/>
      <c r="K1814" s="1128"/>
      <c r="L1814" s="1128"/>
    </row>
    <row r="1815" spans="2:12" ht="23.25" x14ac:dyDescent="0.2">
      <c r="B1815" s="2041" t="s">
        <v>1550</v>
      </c>
      <c r="C1815" s="1127" t="s">
        <v>1551</v>
      </c>
      <c r="D1815" s="1128" t="s">
        <v>1552</v>
      </c>
      <c r="E1815" s="1129"/>
      <c r="F1815" s="1128"/>
      <c r="G1815" s="1128"/>
      <c r="H1815" s="1128"/>
      <c r="I1815" s="1128"/>
      <c r="J1815" s="1128"/>
      <c r="K1815" s="1128"/>
      <c r="L1815" s="1128"/>
    </row>
    <row r="1816" spans="2:12" x14ac:dyDescent="0.2">
      <c r="B1816" s="2043"/>
      <c r="C1816" s="1131"/>
      <c r="D1816" s="1178" t="s">
        <v>1553</v>
      </c>
      <c r="E1816" s="1129"/>
      <c r="F1816" s="1128"/>
      <c r="G1816" s="1128"/>
      <c r="H1816" s="1128"/>
      <c r="I1816" s="1128"/>
      <c r="J1816" s="1128"/>
      <c r="K1816" s="1128"/>
      <c r="L1816" s="1128"/>
    </row>
    <row r="1817" spans="2:12" x14ac:dyDescent="0.2">
      <c r="B1817" s="1191"/>
      <c r="C1817" s="1131"/>
      <c r="D1817" s="1128" t="s">
        <v>1554</v>
      </c>
      <c r="E1817" s="1129"/>
      <c r="F1817" s="1128"/>
      <c r="G1817" s="1128"/>
      <c r="H1817" s="1128"/>
      <c r="I1817" s="1128"/>
      <c r="J1817" s="1128"/>
      <c r="K1817" s="1128"/>
      <c r="L1817" s="1128"/>
    </row>
    <row r="1818" spans="2:12" x14ac:dyDescent="0.2">
      <c r="B1818" s="1191"/>
      <c r="C1818" s="1131"/>
      <c r="D1818" s="1178" t="s">
        <v>1522</v>
      </c>
      <c r="E1818" s="1129"/>
      <c r="F1818" s="1128"/>
      <c r="G1818" s="1128"/>
      <c r="H1818" s="1128"/>
      <c r="I1818" s="1128"/>
      <c r="J1818" s="1128"/>
      <c r="K1818" s="1128"/>
      <c r="L1818" s="1128"/>
    </row>
    <row r="1819" spans="2:12" x14ac:dyDescent="0.2">
      <c r="B1819" s="1191"/>
      <c r="C1819" s="1131"/>
      <c r="D1819" s="1128"/>
      <c r="E1819" s="1129"/>
      <c r="F1819" s="1128"/>
      <c r="G1819" s="1128"/>
      <c r="H1819" s="1128"/>
      <c r="I1819" s="1128"/>
      <c r="J1819" s="1128"/>
      <c r="K1819" s="1128"/>
      <c r="L1819" s="1128"/>
    </row>
    <row r="1820" spans="2:12" x14ac:dyDescent="0.2">
      <c r="B1820" s="1191"/>
      <c r="C1820" s="1131" t="s">
        <v>1328</v>
      </c>
      <c r="D1820" s="1128" t="s">
        <v>1555</v>
      </c>
      <c r="E1820" s="1129"/>
      <c r="F1820" s="1128"/>
      <c r="G1820" s="1128"/>
      <c r="H1820" s="1132" t="s">
        <v>1330</v>
      </c>
      <c r="I1820" s="1145" t="s">
        <v>1380</v>
      </c>
      <c r="J1820" s="1128"/>
      <c r="K1820" s="1128"/>
      <c r="L1820" s="1128"/>
    </row>
    <row r="1821" spans="2:12" x14ac:dyDescent="0.2">
      <c r="B1821" s="1191"/>
      <c r="C1821" s="1130"/>
      <c r="D1821" s="1128" t="s">
        <v>1556</v>
      </c>
      <c r="E1821" s="1129"/>
      <c r="F1821" s="1128"/>
      <c r="G1821" s="1128"/>
      <c r="H1821" s="1132" t="s">
        <v>1330</v>
      </c>
      <c r="I1821" s="1128" t="s">
        <v>1557</v>
      </c>
      <c r="J1821" s="1128"/>
      <c r="K1821" s="1128"/>
      <c r="L1821" s="1128"/>
    </row>
    <row r="1822" spans="2:12" x14ac:dyDescent="0.2">
      <c r="B1822" s="1191"/>
      <c r="C1822" s="1130"/>
      <c r="D1822" s="1128" t="s">
        <v>1558</v>
      </c>
      <c r="E1822" s="1129"/>
      <c r="F1822" s="1128"/>
      <c r="G1822" s="1128"/>
      <c r="H1822" s="1132" t="s">
        <v>1330</v>
      </c>
      <c r="I1822" s="1128" t="s">
        <v>1559</v>
      </c>
      <c r="J1822" s="1128"/>
      <c r="K1822" s="1128"/>
      <c r="L1822" s="1128"/>
    </row>
    <row r="1823" spans="2:12" x14ac:dyDescent="0.2">
      <c r="B1823" s="1191"/>
      <c r="C1823" s="1130"/>
      <c r="D1823" s="1128" t="s">
        <v>1560</v>
      </c>
      <c r="E1823" s="1129"/>
      <c r="F1823" s="1128"/>
      <c r="G1823" s="1128"/>
      <c r="H1823" s="1134">
        <v>1</v>
      </c>
      <c r="I1823" s="1128" t="s">
        <v>1465</v>
      </c>
      <c r="J1823" s="1128"/>
      <c r="K1823" s="1128"/>
      <c r="L1823" s="1128"/>
    </row>
    <row r="1824" spans="2:12" x14ac:dyDescent="0.2">
      <c r="B1824" s="1191"/>
      <c r="C1824" s="1130"/>
      <c r="D1824" s="1128" t="s">
        <v>1561</v>
      </c>
      <c r="E1824" s="1129"/>
      <c r="F1824" s="1128"/>
      <c r="G1824" s="1128"/>
      <c r="H1824" s="1128">
        <v>1.25</v>
      </c>
      <c r="I1824" s="1128" t="s">
        <v>1497</v>
      </c>
      <c r="J1824" s="1128"/>
      <c r="K1824" s="1128"/>
      <c r="L1824" s="1128"/>
    </row>
    <row r="1825" spans="2:12" x14ac:dyDescent="0.2">
      <c r="B1825" s="1191"/>
      <c r="C1825" s="1130"/>
      <c r="D1825" s="1128" t="s">
        <v>1562</v>
      </c>
      <c r="E1825" s="1129"/>
      <c r="F1825" s="1128"/>
      <c r="G1825" s="1128"/>
      <c r="H1825" s="1132"/>
      <c r="I1825" s="1128"/>
      <c r="J1825" s="1128"/>
      <c r="K1825" s="1128"/>
      <c r="L1825" s="1128"/>
    </row>
    <row r="1826" spans="2:12" x14ac:dyDescent="0.2">
      <c r="B1826" s="1191"/>
      <c r="C1826" s="1130"/>
      <c r="D1826" s="1128" t="s">
        <v>1563</v>
      </c>
      <c r="E1826" s="1129"/>
      <c r="F1826" s="1128" t="s">
        <v>1564</v>
      </c>
      <c r="G1826" s="1128"/>
      <c r="H1826" s="1132" t="s">
        <v>1330</v>
      </c>
      <c r="I1826" s="1128">
        <v>80</v>
      </c>
      <c r="J1826" s="1128" t="s">
        <v>1465</v>
      </c>
      <c r="K1826" s="1128"/>
      <c r="L1826" s="1128"/>
    </row>
    <row r="1827" spans="2:12" x14ac:dyDescent="0.2">
      <c r="B1827" s="1191"/>
      <c r="C1827" s="1130"/>
      <c r="D1827" s="1128" t="s">
        <v>1565</v>
      </c>
      <c r="E1827" s="1129"/>
      <c r="F1827" s="1128"/>
      <c r="G1827" s="1128"/>
      <c r="H1827" s="1132"/>
      <c r="I1827" s="1128"/>
      <c r="J1827" s="1128"/>
      <c r="K1827" s="1128"/>
      <c r="L1827" s="1128"/>
    </row>
    <row r="1828" spans="2:12" x14ac:dyDescent="0.2">
      <c r="B1828" s="1191"/>
      <c r="C1828" s="1130"/>
      <c r="D1828" s="1128" t="s">
        <v>1566</v>
      </c>
      <c r="E1828" s="1129"/>
      <c r="F1828" s="1128" t="s">
        <v>1567</v>
      </c>
      <c r="G1828" s="1128"/>
      <c r="H1828" s="1132" t="s">
        <v>1330</v>
      </c>
      <c r="I1828" s="1134">
        <v>100</v>
      </c>
      <c r="J1828" s="1128" t="s">
        <v>1331</v>
      </c>
      <c r="K1828" s="1128"/>
      <c r="L1828" s="1128"/>
    </row>
    <row r="1829" spans="2:12" x14ac:dyDescent="0.2">
      <c r="B1829" s="1191"/>
      <c r="C1829" s="1130"/>
      <c r="D1829" s="1128" t="s">
        <v>1568</v>
      </c>
      <c r="E1829" s="1129"/>
      <c r="F1829" s="1128" t="s">
        <v>1569</v>
      </c>
      <c r="G1829" s="1128"/>
      <c r="H1829" s="1132" t="s">
        <v>1330</v>
      </c>
      <c r="I1829" s="1134">
        <v>15</v>
      </c>
      <c r="J1829" s="1128" t="s">
        <v>1331</v>
      </c>
      <c r="K1829" s="1128"/>
      <c r="L1829" s="1128"/>
    </row>
    <row r="1830" spans="2:12" x14ac:dyDescent="0.2">
      <c r="B1830" s="1191"/>
      <c r="C1830" s="1130"/>
      <c r="D1830" s="1128" t="s">
        <v>1570</v>
      </c>
      <c r="E1830" s="1129"/>
      <c r="F1830" s="1128" t="s">
        <v>1571</v>
      </c>
      <c r="G1830" s="1128"/>
      <c r="H1830" s="1132" t="s">
        <v>1330</v>
      </c>
      <c r="I1830" s="1128">
        <v>144</v>
      </c>
      <c r="J1830" s="1128" t="s">
        <v>1497</v>
      </c>
      <c r="K1830" s="1128"/>
      <c r="L1830" s="1128"/>
    </row>
    <row r="1831" spans="2:12" x14ac:dyDescent="0.2">
      <c r="B1831" s="1191"/>
      <c r="C1831" s="1130"/>
      <c r="D1831" s="1128" t="s">
        <v>1572</v>
      </c>
      <c r="E1831" s="1129"/>
      <c r="F1831" s="1128"/>
      <c r="G1831" s="1128"/>
      <c r="H1831" s="1128"/>
      <c r="I1831" s="1128"/>
      <c r="J1831" s="1128"/>
      <c r="K1831" s="1128"/>
      <c r="L1831" s="1128"/>
    </row>
    <row r="1832" spans="2:12" x14ac:dyDescent="0.2">
      <c r="B1832" s="1191"/>
      <c r="C1832" s="1130"/>
      <c r="D1832" s="1128" t="s">
        <v>1573</v>
      </c>
      <c r="E1832" s="1129"/>
      <c r="F1832" s="1128"/>
      <c r="G1832" s="1128"/>
      <c r="H1832" s="1128"/>
      <c r="I1832" s="1128"/>
      <c r="J1832" s="1128"/>
      <c r="K1832" s="1128"/>
      <c r="L1832" s="1128"/>
    </row>
    <row r="1833" spans="2:12" x14ac:dyDescent="0.2">
      <c r="B1833" s="1191"/>
      <c r="C1833" s="1130"/>
      <c r="D1833" s="1128" t="s">
        <v>1574</v>
      </c>
      <c r="E1833" s="1129"/>
      <c r="F1833" s="1128"/>
      <c r="G1833" s="1128"/>
      <c r="H1833" s="1128"/>
      <c r="I1833" s="1128"/>
      <c r="J1833" s="1128"/>
      <c r="K1833" s="1128"/>
      <c r="L1833" s="1128"/>
    </row>
    <row r="1834" spans="2:12" x14ac:dyDescent="0.2">
      <c r="B1834" s="1191"/>
      <c r="C1834" s="1130"/>
      <c r="D1834" s="1128" t="s">
        <v>1575</v>
      </c>
      <c r="E1834" s="1129"/>
      <c r="F1834" s="1128"/>
      <c r="G1834" s="1128"/>
      <c r="H1834" s="1128"/>
      <c r="I1834" s="1128"/>
      <c r="J1834" s="1128"/>
      <c r="K1834" s="1128"/>
      <c r="L1834" s="1128"/>
    </row>
    <row r="1835" spans="2:12" x14ac:dyDescent="0.2">
      <c r="B1835" s="1191"/>
      <c r="C1835" s="1130"/>
      <c r="D1835" s="1128" t="s">
        <v>1576</v>
      </c>
      <c r="E1835" s="1129"/>
      <c r="F1835" s="1128"/>
      <c r="G1835" s="1128"/>
      <c r="H1835" s="1132" t="s">
        <v>1330</v>
      </c>
      <c r="I1835" s="1128">
        <v>10</v>
      </c>
      <c r="J1835" s="1128" t="s">
        <v>1577</v>
      </c>
      <c r="K1835" s="1128"/>
      <c r="L1835" s="1128"/>
    </row>
    <row r="1836" spans="2:12" x14ac:dyDescent="0.2">
      <c r="B1836" s="1191"/>
      <c r="C1836" s="1130"/>
      <c r="D1836" s="1128" t="s">
        <v>1578</v>
      </c>
      <c r="E1836" s="1129"/>
      <c r="F1836" s="1128"/>
      <c r="G1836" s="1128"/>
      <c r="H1836" s="1132" t="s">
        <v>1330</v>
      </c>
      <c r="I1836" s="1128">
        <v>2</v>
      </c>
      <c r="J1836" s="1128" t="s">
        <v>1577</v>
      </c>
      <c r="K1836" s="1128"/>
      <c r="L1836" s="1128"/>
    </row>
    <row r="1837" spans="2:12" x14ac:dyDescent="0.2">
      <c r="B1837" s="1191"/>
      <c r="C1837" s="1130"/>
      <c r="D1837" s="1128" t="s">
        <v>1579</v>
      </c>
      <c r="E1837" s="1129"/>
      <c r="F1837" s="1128"/>
      <c r="G1837" s="1128"/>
      <c r="H1837" s="1132"/>
      <c r="I1837" s="1128"/>
      <c r="J1837" s="1128"/>
      <c r="K1837" s="1128"/>
      <c r="L1837" s="1128"/>
    </row>
    <row r="1838" spans="2:12" x14ac:dyDescent="0.2">
      <c r="B1838" s="1191"/>
      <c r="C1838" s="1130"/>
      <c r="D1838" s="1128" t="s">
        <v>1393</v>
      </c>
      <c r="E1838" s="1129"/>
      <c r="F1838" s="1128"/>
      <c r="G1838" s="1128"/>
      <c r="H1838" s="1132" t="s">
        <v>1330</v>
      </c>
      <c r="I1838" s="1128">
        <v>7</v>
      </c>
      <c r="J1838" s="1128" t="s">
        <v>1577</v>
      </c>
      <c r="K1838" s="1128"/>
      <c r="L1838" s="1128"/>
    </row>
    <row r="1839" spans="2:12" x14ac:dyDescent="0.2">
      <c r="B1839" s="1191"/>
      <c r="C1839" s="1130"/>
      <c r="D1839" s="1128" t="s">
        <v>1580</v>
      </c>
      <c r="E1839" s="1129"/>
      <c r="F1839" s="1128"/>
      <c r="G1839" s="1128"/>
      <c r="H1839" s="1132" t="s">
        <v>1330</v>
      </c>
      <c r="I1839" s="1128">
        <v>7</v>
      </c>
      <c r="J1839" s="1128" t="s">
        <v>1577</v>
      </c>
      <c r="K1839" s="1128"/>
      <c r="L1839" s="1128"/>
    </row>
    <row r="1840" spans="2:12" x14ac:dyDescent="0.2">
      <c r="B1840" s="1191"/>
      <c r="C1840" s="1140"/>
      <c r="D1840" s="1132"/>
      <c r="E1840" s="1129"/>
      <c r="F1840" s="1128"/>
      <c r="G1840" s="1128"/>
      <c r="H1840" s="1128"/>
      <c r="I1840" s="1128"/>
      <c r="J1840" s="1128"/>
      <c r="K1840" s="1128"/>
      <c r="L1840" s="1128"/>
    </row>
    <row r="1841" spans="2:12" x14ac:dyDescent="0.2">
      <c r="B1841" s="1191"/>
      <c r="C1841" s="1140"/>
      <c r="D1841" s="1132"/>
      <c r="E1841" s="1334" t="s">
        <v>1373</v>
      </c>
      <c r="F1841" s="1178"/>
      <c r="G1841" s="1273" t="s">
        <v>1374</v>
      </c>
      <c r="H1841" s="1335">
        <v>100</v>
      </c>
      <c r="I1841" s="1178" t="s">
        <v>1012</v>
      </c>
      <c r="J1841" s="1128"/>
      <c r="K1841" s="1128"/>
      <c r="L1841" s="1128"/>
    </row>
    <row r="1842" spans="2:12" x14ac:dyDescent="0.2">
      <c r="B1842" s="1191"/>
      <c r="C1842" s="1140"/>
      <c r="D1842" s="1145" t="s">
        <v>1375</v>
      </c>
      <c r="E1842" s="1129"/>
      <c r="F1842" s="1128"/>
      <c r="G1842" s="1128"/>
      <c r="H1842" s="1128"/>
      <c r="I1842" s="1128"/>
      <c r="J1842" s="1128"/>
      <c r="K1842" s="1128"/>
      <c r="L1842" s="1128"/>
    </row>
    <row r="1843" spans="2:12" x14ac:dyDescent="0.2">
      <c r="B1843" s="1191"/>
      <c r="C1843" s="1140"/>
      <c r="D1843" s="1146" t="s">
        <v>1376</v>
      </c>
      <c r="E1843" s="1147" t="s">
        <v>1377</v>
      </c>
      <c r="F1843" s="1146" t="s">
        <v>1378</v>
      </c>
      <c r="G1843" s="1146" t="s">
        <v>139</v>
      </c>
      <c r="H1843" s="1146" t="s">
        <v>140</v>
      </c>
      <c r="I1843" s="1146" t="s">
        <v>141</v>
      </c>
      <c r="J1843" s="1128"/>
      <c r="K1843" s="1128"/>
      <c r="L1843" s="1128"/>
    </row>
    <row r="1844" spans="2:12" x14ac:dyDescent="0.2">
      <c r="B1844" s="1191"/>
      <c r="C1844" s="1140"/>
      <c r="D1844" s="1148"/>
      <c r="E1844" s="1149"/>
      <c r="F1844" s="1148"/>
      <c r="G1844" s="1148"/>
      <c r="H1844" s="1148" t="s">
        <v>1379</v>
      </c>
      <c r="I1844" s="1148" t="s">
        <v>1379</v>
      </c>
      <c r="J1844" s="1128"/>
      <c r="K1844" s="1128"/>
      <c r="L1844" s="1128"/>
    </row>
    <row r="1845" spans="2:12" x14ac:dyDescent="0.2">
      <c r="B1845" s="1191"/>
      <c r="C1845" s="1140"/>
      <c r="D1845" s="1146">
        <v>1</v>
      </c>
      <c r="E1845" s="1154" t="s">
        <v>1581</v>
      </c>
      <c r="F1845" s="1146" t="s">
        <v>1012</v>
      </c>
      <c r="G1845" s="1151">
        <v>100</v>
      </c>
      <c r="H1845" s="1215">
        <f>Lead!K21</f>
        <v>762.74827355542845</v>
      </c>
      <c r="I1845" s="1151">
        <f>G1845*H1845</f>
        <v>76274.827355542846</v>
      </c>
      <c r="J1845" s="1128"/>
      <c r="K1845" s="1128"/>
      <c r="L1845" s="1128"/>
    </row>
    <row r="1846" spans="2:12" x14ac:dyDescent="0.2">
      <c r="B1846" s="1191"/>
      <c r="C1846" s="1140"/>
      <c r="D1846" s="1155">
        <v>2</v>
      </c>
      <c r="E1846" s="1154" t="s">
        <v>1582</v>
      </c>
      <c r="F1846" s="1155" t="s">
        <v>1012</v>
      </c>
      <c r="G1846" s="1151">
        <v>15</v>
      </c>
      <c r="H1846" s="1215">
        <f>Lead!K24</f>
        <v>794.74827355542845</v>
      </c>
      <c r="I1846" s="1151">
        <f>G1846*H1846</f>
        <v>11921.224103331428</v>
      </c>
      <c r="J1846" s="1128"/>
      <c r="K1846" s="1128"/>
      <c r="L1846" s="1128"/>
    </row>
    <row r="1847" spans="2:12" x14ac:dyDescent="0.2">
      <c r="B1847" s="1191"/>
      <c r="C1847" s="1140"/>
      <c r="D1847" s="1155">
        <v>3</v>
      </c>
      <c r="E1847" s="1154" t="s">
        <v>1318</v>
      </c>
      <c r="F1847" s="1155" t="s">
        <v>581</v>
      </c>
      <c r="G1847" s="1151">
        <v>2</v>
      </c>
      <c r="H1847" s="1152">
        <f>H1691</f>
        <v>41</v>
      </c>
      <c r="I1847" s="1151">
        <f>G1847*H1847</f>
        <v>82</v>
      </c>
      <c r="J1847" s="1128"/>
      <c r="K1847" s="1128"/>
      <c r="L1847" s="1128"/>
    </row>
    <row r="1848" spans="2:12" ht="38.25" x14ac:dyDescent="0.2">
      <c r="B1848" s="1191"/>
      <c r="C1848" s="1140"/>
      <c r="D1848" s="1342"/>
      <c r="E1848" s="1343" t="s">
        <v>1583</v>
      </c>
      <c r="F1848" s="1264"/>
      <c r="G1848" s="1265"/>
      <c r="H1848" s="1344"/>
      <c r="I1848" s="1151">
        <f>G1848*H1848</f>
        <v>0</v>
      </c>
      <c r="J1848" s="1128"/>
      <c r="K1848" s="1128"/>
      <c r="L1848" s="1128"/>
    </row>
    <row r="1849" spans="2:12" ht="38.25" x14ac:dyDescent="0.2">
      <c r="B1849" s="1191"/>
      <c r="C1849" s="1140"/>
      <c r="D1849" s="1337"/>
      <c r="E1849" s="1345" t="s">
        <v>1584</v>
      </c>
      <c r="F1849" s="1338"/>
      <c r="G1849" s="1346"/>
      <c r="H1849" s="1347"/>
      <c r="I1849" s="1151">
        <f>G1849*H1849</f>
        <v>0</v>
      </c>
      <c r="J1849" s="1128"/>
      <c r="K1849" s="1128"/>
      <c r="L1849" s="1128"/>
    </row>
    <row r="1850" spans="2:12" x14ac:dyDescent="0.2">
      <c r="B1850" s="1191"/>
      <c r="C1850" s="1140"/>
      <c r="D1850" s="1156"/>
      <c r="E1850" s="1157" t="s">
        <v>1381</v>
      </c>
      <c r="F1850" s="1158"/>
      <c r="G1850" s="1159"/>
      <c r="H1850" s="1160" t="s">
        <v>1382</v>
      </c>
      <c r="I1850" s="1170">
        <f>SUM(I1845:I1849)</f>
        <v>88278.051458874281</v>
      </c>
      <c r="J1850" s="1128"/>
      <c r="K1850" s="1128"/>
      <c r="L1850" s="1128"/>
    </row>
    <row r="1851" spans="2:12" x14ac:dyDescent="0.2">
      <c r="B1851" s="1191"/>
      <c r="C1851" s="1140"/>
      <c r="D1851" s="1132"/>
      <c r="E1851" s="1129"/>
      <c r="F1851" s="1128"/>
      <c r="G1851" s="1128"/>
      <c r="H1851" s="1128"/>
      <c r="I1851" s="1128"/>
      <c r="J1851" s="1128"/>
      <c r="K1851" s="1128"/>
      <c r="L1851" s="1128"/>
    </row>
    <row r="1852" spans="2:12" x14ac:dyDescent="0.2">
      <c r="B1852" s="1191"/>
      <c r="C1852" s="1140"/>
      <c r="D1852" s="1145" t="s">
        <v>1383</v>
      </c>
      <c r="E1852" s="1129"/>
      <c r="F1852" s="1128"/>
      <c r="G1852" s="1128"/>
      <c r="H1852" s="1128"/>
      <c r="I1852" s="1128"/>
      <c r="J1852" s="1128"/>
      <c r="K1852" s="1128"/>
      <c r="L1852" s="1128"/>
    </row>
    <row r="1853" spans="2:12" x14ac:dyDescent="0.2">
      <c r="B1853" s="1191"/>
      <c r="C1853" s="1140"/>
      <c r="D1853" s="1146" t="s">
        <v>1376</v>
      </c>
      <c r="E1853" s="1147" t="s">
        <v>284</v>
      </c>
      <c r="F1853" s="1146" t="s">
        <v>1378</v>
      </c>
      <c r="G1853" s="1146" t="s">
        <v>139</v>
      </c>
      <c r="H1853" s="1146" t="s">
        <v>140</v>
      </c>
      <c r="I1853" s="1146" t="s">
        <v>141</v>
      </c>
      <c r="J1853" s="1128"/>
      <c r="K1853" s="1128"/>
      <c r="L1853" s="1128"/>
    </row>
    <row r="1854" spans="2:12" x14ac:dyDescent="0.2">
      <c r="B1854" s="1191"/>
      <c r="C1854" s="1140"/>
      <c r="D1854" s="1148"/>
      <c r="E1854" s="1149"/>
      <c r="F1854" s="1148"/>
      <c r="G1854" s="1148"/>
      <c r="H1854" s="1148" t="s">
        <v>1379</v>
      </c>
      <c r="I1854" s="1148" t="s">
        <v>1379</v>
      </c>
      <c r="J1854" s="1128"/>
      <c r="K1854" s="1128"/>
      <c r="L1854" s="1128"/>
    </row>
    <row r="1855" spans="2:12" x14ac:dyDescent="0.2">
      <c r="B1855" s="1191"/>
      <c r="C1855" s="1140"/>
      <c r="D1855" s="1146">
        <v>1</v>
      </c>
      <c r="E1855" s="1339" t="s">
        <v>1548</v>
      </c>
      <c r="F1855" s="1146"/>
      <c r="G1855" s="1266">
        <v>0</v>
      </c>
      <c r="H1855" s="1340">
        <v>0</v>
      </c>
      <c r="I1855" s="1151">
        <f>G1855*H1855</f>
        <v>0</v>
      </c>
      <c r="J1855" s="1128"/>
      <c r="K1855" s="1128"/>
      <c r="L1855" s="1128"/>
    </row>
    <row r="1856" spans="2:12" x14ac:dyDescent="0.2">
      <c r="B1856" s="1191"/>
      <c r="C1856" s="1140"/>
      <c r="D1856" s="1336"/>
      <c r="E1856" s="1175"/>
      <c r="F1856" s="1155"/>
      <c r="G1856" s="1266">
        <v>0</v>
      </c>
      <c r="H1856" s="1340">
        <v>0</v>
      </c>
      <c r="I1856" s="1151">
        <f>G1856*H1856</f>
        <v>0</v>
      </c>
      <c r="J1856" s="1128"/>
      <c r="K1856" s="1128"/>
      <c r="L1856" s="1128"/>
    </row>
    <row r="1857" spans="2:12" ht="25.5" x14ac:dyDescent="0.2">
      <c r="B1857" s="1191"/>
      <c r="C1857" s="1140"/>
      <c r="D1857" s="1166"/>
      <c r="E1857" s="1167" t="s">
        <v>1387</v>
      </c>
      <c r="F1857" s="1168"/>
      <c r="G1857" s="1169"/>
      <c r="H1857" s="1160" t="s">
        <v>1382</v>
      </c>
      <c r="I1857" s="1161">
        <f>SUM(I1855:I1856)</f>
        <v>0</v>
      </c>
      <c r="J1857" s="1128"/>
      <c r="K1857" s="1128"/>
      <c r="L1857" s="1128"/>
    </row>
    <row r="1858" spans="2:12" x14ac:dyDescent="0.2">
      <c r="B1858" s="1191"/>
      <c r="C1858" s="1140"/>
      <c r="D1858" s="1132"/>
      <c r="E1858" s="1129"/>
      <c r="F1858" s="1128"/>
      <c r="G1858" s="1128"/>
      <c r="H1858" s="1128"/>
      <c r="I1858" s="1128"/>
      <c r="J1858" s="1128"/>
      <c r="K1858" s="1128"/>
      <c r="L1858" s="1128"/>
    </row>
    <row r="1859" spans="2:12" x14ac:dyDescent="0.2">
      <c r="B1859" s="1191"/>
      <c r="C1859" s="1140"/>
      <c r="D1859" s="1145" t="s">
        <v>1388</v>
      </c>
      <c r="E1859" s="1129"/>
      <c r="F1859" s="1128"/>
      <c r="G1859" s="1128"/>
      <c r="H1859" s="1128"/>
      <c r="I1859" s="1128"/>
      <c r="J1859" s="1128"/>
      <c r="K1859" s="1128"/>
      <c r="L1859" s="1128"/>
    </row>
    <row r="1860" spans="2:12" x14ac:dyDescent="0.2">
      <c r="B1860" s="1191"/>
      <c r="C1860" s="1140"/>
      <c r="D1860" s="1146" t="s">
        <v>1376</v>
      </c>
      <c r="E1860" s="1147" t="s">
        <v>284</v>
      </c>
      <c r="F1860" s="1146" t="s">
        <v>1378</v>
      </c>
      <c r="G1860" s="1146" t="s">
        <v>139</v>
      </c>
      <c r="H1860" s="1146" t="s">
        <v>140</v>
      </c>
      <c r="I1860" s="1146" t="s">
        <v>141</v>
      </c>
      <c r="J1860" s="1128"/>
      <c r="K1860" s="1128"/>
      <c r="L1860" s="1128"/>
    </row>
    <row r="1861" spans="2:12" x14ac:dyDescent="0.2">
      <c r="B1861" s="1191"/>
      <c r="C1861" s="1140"/>
      <c r="D1861" s="1148"/>
      <c r="E1861" s="1149"/>
      <c r="F1861" s="1155"/>
      <c r="G1861" s="1148"/>
      <c r="H1861" s="1148" t="s">
        <v>1379</v>
      </c>
      <c r="I1861" s="1148" t="s">
        <v>1379</v>
      </c>
      <c r="J1861" s="1128"/>
      <c r="K1861" s="1128"/>
      <c r="L1861" s="1128"/>
    </row>
    <row r="1862" spans="2:12" x14ac:dyDescent="0.2">
      <c r="B1862" s="1191"/>
      <c r="C1862" s="1140"/>
      <c r="D1862" s="1155">
        <v>1</v>
      </c>
      <c r="E1862" s="1171" t="s">
        <v>1391</v>
      </c>
      <c r="F1862" s="1146" t="s">
        <v>1392</v>
      </c>
      <c r="G1862" s="1172">
        <v>1</v>
      </c>
      <c r="H1862" s="1173">
        <f>H1753</f>
        <v>400</v>
      </c>
      <c r="I1862" s="1151">
        <f>G1862*H1862</f>
        <v>400</v>
      </c>
      <c r="J1862" s="1128"/>
      <c r="K1862" s="1128"/>
      <c r="L1862" s="1128"/>
    </row>
    <row r="1863" spans="2:12" x14ac:dyDescent="0.2">
      <c r="B1863" s="1191"/>
      <c r="C1863" s="1140"/>
      <c r="D1863" s="1155">
        <v>2</v>
      </c>
      <c r="E1863" s="1171" t="s">
        <v>1580</v>
      </c>
      <c r="F1863" s="1155" t="s">
        <v>1392</v>
      </c>
      <c r="G1863" s="1172">
        <v>7</v>
      </c>
      <c r="H1863" s="1173">
        <f>SSR!E9</f>
        <v>375</v>
      </c>
      <c r="I1863" s="1151">
        <f>G1863*H1863</f>
        <v>2625</v>
      </c>
      <c r="J1863" s="1128"/>
      <c r="K1863" s="1128"/>
      <c r="L1863" s="1128"/>
    </row>
    <row r="1864" spans="2:12" x14ac:dyDescent="0.2">
      <c r="B1864" s="1191"/>
      <c r="C1864" s="1140"/>
      <c r="D1864" s="1155">
        <v>3</v>
      </c>
      <c r="E1864" s="1171" t="s">
        <v>1455</v>
      </c>
      <c r="F1864" s="1155" t="s">
        <v>1392</v>
      </c>
      <c r="G1864" s="1172">
        <v>19</v>
      </c>
      <c r="H1864" s="1348">
        <f>H1798</f>
        <v>320</v>
      </c>
      <c r="I1864" s="1151">
        <f>G1864*H1864</f>
        <v>6080</v>
      </c>
      <c r="J1864" s="1128"/>
      <c r="K1864" s="1128"/>
      <c r="L1864" s="1128"/>
    </row>
    <row r="1865" spans="2:12" x14ac:dyDescent="0.2">
      <c r="B1865" s="1191"/>
      <c r="C1865" s="1140"/>
      <c r="D1865" s="1156"/>
      <c r="E1865" s="1157" t="s">
        <v>1394</v>
      </c>
      <c r="F1865" s="1158"/>
      <c r="G1865" s="1159"/>
      <c r="H1865" s="1160" t="s">
        <v>1382</v>
      </c>
      <c r="I1865" s="1170">
        <f>SUM(I1862:I1864)</f>
        <v>9105</v>
      </c>
      <c r="J1865" s="1128"/>
      <c r="K1865" s="1128"/>
      <c r="L1865" s="1128"/>
    </row>
    <row r="1866" spans="2:12" x14ac:dyDescent="0.2">
      <c r="B1866" s="1191"/>
      <c r="C1866" s="1140"/>
      <c r="D1866" s="1174" t="s">
        <v>1395</v>
      </c>
      <c r="E1866" s="1175"/>
      <c r="F1866" s="1174"/>
      <c r="G1866" s="1176">
        <f>I1865/H1841</f>
        <v>91.05</v>
      </c>
      <c r="H1866" s="1128"/>
      <c r="I1866" s="1128"/>
      <c r="J1866" s="1128"/>
      <c r="K1866" s="1128"/>
      <c r="L1866" s="1128"/>
    </row>
    <row r="1867" spans="2:12" x14ac:dyDescent="0.2">
      <c r="B1867" s="1191"/>
      <c r="C1867" s="1140"/>
      <c r="D1867" s="1174" t="s">
        <v>2104</v>
      </c>
      <c r="E1867" s="1175"/>
      <c r="F1867" s="1944">
        <f>G1876</f>
        <v>0.13614999999999999</v>
      </c>
      <c r="G1867" s="1176">
        <f>G1866*F1867</f>
        <v>12.396457499999999</v>
      </c>
      <c r="H1867" s="1128"/>
      <c r="I1867" s="1128"/>
      <c r="J1867" s="1128"/>
      <c r="K1867" s="1128"/>
      <c r="L1867" s="1128"/>
    </row>
    <row r="1868" spans="2:12" x14ac:dyDescent="0.2">
      <c r="B1868" s="1191"/>
      <c r="C1868" s="1140"/>
      <c r="D1868" s="1174" t="s">
        <v>2103</v>
      </c>
      <c r="E1868" s="1175"/>
      <c r="F1868" s="1174"/>
      <c r="G1868" s="1177">
        <f>SUM(G1866:G1867)</f>
        <v>103.44645749999999</v>
      </c>
      <c r="H1868" s="1128"/>
      <c r="I1868" s="1128"/>
      <c r="J1868" s="1128"/>
      <c r="K1868" s="1128"/>
      <c r="L1868" s="1128"/>
    </row>
    <row r="1869" spans="2:12" x14ac:dyDescent="0.2">
      <c r="B1869" s="1191"/>
      <c r="C1869" s="1140"/>
      <c r="D1869" s="1132"/>
      <c r="E1869" s="1129"/>
      <c r="F1869" s="1128"/>
      <c r="G1869" s="1128"/>
      <c r="H1869" s="1128"/>
      <c r="I1869" s="1128"/>
      <c r="J1869" s="1128"/>
      <c r="K1869" s="1128"/>
      <c r="L1869" s="1128"/>
    </row>
    <row r="1870" spans="2:12" x14ac:dyDescent="0.2">
      <c r="B1870" s="1191"/>
      <c r="C1870" s="1140"/>
      <c r="D1870" s="1178" t="s">
        <v>1396</v>
      </c>
      <c r="E1870" s="1129"/>
      <c r="F1870" s="1128"/>
      <c r="G1870" s="1128"/>
      <c r="H1870" s="1128"/>
      <c r="I1870" s="1128"/>
      <c r="J1870" s="1128"/>
      <c r="K1870" s="1128"/>
      <c r="L1870" s="1128"/>
    </row>
    <row r="1871" spans="2:12" x14ac:dyDescent="0.2">
      <c r="B1871" s="1191"/>
      <c r="C1871" s="1140"/>
      <c r="D1871" s="1128" t="s">
        <v>1515</v>
      </c>
      <c r="E1871" s="1129"/>
      <c r="F1871" s="1128"/>
      <c r="G1871" s="1128"/>
      <c r="H1871" s="1143" t="s">
        <v>1382</v>
      </c>
      <c r="I1871" s="1134">
        <f>I1850</f>
        <v>88278.051458874281</v>
      </c>
      <c r="J1871" s="1128"/>
      <c r="K1871" s="1128"/>
      <c r="L1871" s="1128"/>
    </row>
    <row r="1872" spans="2:12" x14ac:dyDescent="0.2">
      <c r="B1872" s="1191"/>
      <c r="C1872" s="1140"/>
      <c r="D1872" s="1128" t="s">
        <v>1398</v>
      </c>
      <c r="E1872" s="1129"/>
      <c r="F1872" s="1128"/>
      <c r="G1872" s="1128"/>
      <c r="H1872" s="1143" t="s">
        <v>1382</v>
      </c>
      <c r="I1872" s="1134">
        <f>I1857</f>
        <v>0</v>
      </c>
      <c r="J1872" s="1128"/>
      <c r="K1872" s="1128"/>
      <c r="L1872" s="1128"/>
    </row>
    <row r="1873" spans="2:12" x14ac:dyDescent="0.2">
      <c r="B1873" s="1191"/>
      <c r="C1873" s="1140"/>
      <c r="D1873" s="1128" t="s">
        <v>1399</v>
      </c>
      <c r="E1873" s="1129"/>
      <c r="F1873" s="1128"/>
      <c r="G1873" s="1128"/>
      <c r="H1873" s="1143" t="s">
        <v>1382</v>
      </c>
      <c r="I1873" s="1179">
        <f>I1865</f>
        <v>9105</v>
      </c>
      <c r="J1873" s="1128" t="s">
        <v>1400</v>
      </c>
      <c r="K1873" s="1128"/>
      <c r="L1873" s="1128"/>
    </row>
    <row r="1874" spans="2:12" x14ac:dyDescent="0.2">
      <c r="B1874" s="1191"/>
      <c r="C1874" s="1140"/>
      <c r="D1874" s="1128"/>
      <c r="E1874" s="129" t="str">
        <f>+IF($I$4=0%,"---","Municipal allowance")</f>
        <v>Municipal allowance</v>
      </c>
      <c r="F1874" s="928">
        <f>$I$4</f>
        <v>0.2</v>
      </c>
      <c r="G1874" s="1128"/>
      <c r="H1874" s="1143"/>
      <c r="I1874" s="1179">
        <f>I1873*F1874</f>
        <v>1821</v>
      </c>
      <c r="J1874" s="1128"/>
      <c r="K1874" s="1128"/>
      <c r="L1874" s="1128"/>
    </row>
    <row r="1875" spans="2:12" x14ac:dyDescent="0.2">
      <c r="B1875" s="1191"/>
      <c r="C1875" s="1140"/>
      <c r="D1875" s="1132"/>
      <c r="E1875" s="1129"/>
      <c r="F1875" s="1128"/>
      <c r="G1875" s="1272"/>
      <c r="H1875" s="1143" t="s">
        <v>1457</v>
      </c>
      <c r="I1875" s="1181">
        <f>SUM(I1871:I1874)</f>
        <v>99204.051458874281</v>
      </c>
      <c r="J1875" s="1128"/>
      <c r="K1875" s="1128"/>
      <c r="L1875" s="1128"/>
    </row>
    <row r="1876" spans="2:12" x14ac:dyDescent="0.2">
      <c r="B1876" s="1191"/>
      <c r="C1876" s="1140"/>
      <c r="D1876" s="2040" t="s">
        <v>2105</v>
      </c>
      <c r="E1876" s="2040"/>
      <c r="F1876" s="2040"/>
      <c r="G1876" s="1940">
        <f>+$I$5</f>
        <v>0.13614999999999999</v>
      </c>
      <c r="H1876" s="1143" t="s">
        <v>1382</v>
      </c>
      <c r="I1876" s="1174">
        <f>I1875*G1876</f>
        <v>13506.631606125733</v>
      </c>
      <c r="J1876" s="1128"/>
      <c r="K1876" s="1128"/>
      <c r="L1876" s="1128"/>
    </row>
    <row r="1877" spans="2:12" x14ac:dyDescent="0.2">
      <c r="B1877" s="1191"/>
      <c r="C1877" s="1140"/>
      <c r="D1877" s="1128" t="s">
        <v>1402</v>
      </c>
      <c r="E1877" s="1129"/>
      <c r="F1877" s="1182">
        <f>H1841</f>
        <v>100</v>
      </c>
      <c r="G1877" s="1182" t="s">
        <v>1012</v>
      </c>
      <c r="H1877" s="1143" t="s">
        <v>1382</v>
      </c>
      <c r="I1877" s="1182">
        <f>SUM(I1875:I1876)</f>
        <v>112710.68306500002</v>
      </c>
      <c r="J1877" s="1128"/>
      <c r="K1877" s="1128"/>
      <c r="L1877" s="1128"/>
    </row>
    <row r="1878" spans="2:12" x14ac:dyDescent="0.2">
      <c r="B1878" s="1191"/>
      <c r="C1878" s="1140"/>
      <c r="D1878" s="1183" t="s">
        <v>1403</v>
      </c>
      <c r="E1878" s="1184" t="s">
        <v>1012</v>
      </c>
      <c r="F1878" s="1178" t="s">
        <v>1549</v>
      </c>
      <c r="G1878" s="1128"/>
      <c r="H1878" s="1143" t="s">
        <v>1022</v>
      </c>
      <c r="I1878" s="1170">
        <f>ROUND(I1877/F1877,1)</f>
        <v>1127.0999999999999</v>
      </c>
      <c r="J1878" s="1273"/>
      <c r="K1878" s="1128"/>
      <c r="L1878" s="1128"/>
    </row>
    <row r="1879" spans="2:12" x14ac:dyDescent="0.2">
      <c r="B1879" s="1191"/>
      <c r="C1879" s="1130"/>
      <c r="D1879" s="1178"/>
      <c r="E1879" s="1129"/>
      <c r="F1879" s="1128"/>
      <c r="G1879" s="1128"/>
      <c r="H1879" s="1128"/>
      <c r="I1879" s="1128"/>
      <c r="J1879" s="1128"/>
      <c r="K1879" s="1128"/>
      <c r="L1879" s="1128"/>
    </row>
    <row r="1880" spans="2:12" ht="23.25" x14ac:dyDescent="0.2">
      <c r="B1880" s="1926" t="s">
        <v>1585</v>
      </c>
      <c r="C1880" s="1127" t="s">
        <v>1586</v>
      </c>
      <c r="D1880" s="1128" t="s">
        <v>1587</v>
      </c>
      <c r="E1880" s="1129"/>
      <c r="F1880" s="1128"/>
      <c r="G1880" s="1128"/>
      <c r="H1880" s="1128"/>
      <c r="I1880" s="1128"/>
      <c r="J1880" s="1128"/>
      <c r="K1880" s="1128"/>
      <c r="L1880" s="1128"/>
    </row>
    <row r="1881" spans="2:12" x14ac:dyDescent="0.2">
      <c r="B1881" s="1191"/>
      <c r="C1881" s="1131"/>
      <c r="D1881" s="1178" t="s">
        <v>1588</v>
      </c>
      <c r="E1881" s="1129"/>
      <c r="F1881" s="1128"/>
      <c r="G1881" s="1128"/>
      <c r="H1881" s="1128"/>
      <c r="I1881" s="1128"/>
      <c r="J1881" s="1128"/>
      <c r="K1881" s="1128"/>
      <c r="L1881" s="1128"/>
    </row>
    <row r="1882" spans="2:12" x14ac:dyDescent="0.2">
      <c r="B1882" s="1191"/>
      <c r="C1882" s="1131"/>
      <c r="D1882" s="1128" t="s">
        <v>1589</v>
      </c>
      <c r="E1882" s="1129"/>
      <c r="F1882" s="1128"/>
      <c r="G1882" s="1128"/>
      <c r="H1882" s="1128"/>
      <c r="I1882" s="1128"/>
      <c r="J1882" s="1128"/>
      <c r="K1882" s="1128"/>
      <c r="L1882" s="1128"/>
    </row>
    <row r="1883" spans="2:12" x14ac:dyDescent="0.2">
      <c r="B1883" s="1191"/>
      <c r="C1883" s="1349"/>
      <c r="D1883" s="1128" t="s">
        <v>1590</v>
      </c>
      <c r="E1883" s="1129"/>
      <c r="F1883" s="1128"/>
      <c r="G1883" s="1128"/>
      <c r="H1883" s="1128"/>
      <c r="I1883" s="1128"/>
      <c r="J1883" s="1128"/>
      <c r="K1883" s="1128"/>
      <c r="L1883" s="1128"/>
    </row>
    <row r="1884" spans="2:12" x14ac:dyDescent="0.2">
      <c r="B1884" s="1191"/>
      <c r="C1884" s="1349"/>
      <c r="D1884" s="1178"/>
      <c r="E1884" s="1129"/>
      <c r="F1884" s="1128"/>
      <c r="G1884" s="1128"/>
      <c r="H1884" s="1132"/>
      <c r="I1884" s="1145"/>
      <c r="J1884" s="1128"/>
      <c r="K1884" s="1128"/>
      <c r="L1884" s="1128"/>
    </row>
    <row r="1885" spans="2:12" x14ac:dyDescent="0.2">
      <c r="B1885" s="1191"/>
      <c r="C1885" s="1131" t="s">
        <v>1328</v>
      </c>
      <c r="D1885" s="1128" t="s">
        <v>1591</v>
      </c>
      <c r="E1885" s="1129"/>
      <c r="F1885" s="1128"/>
      <c r="G1885" s="1128"/>
      <c r="H1885" s="1132"/>
      <c r="I1885" s="1128"/>
      <c r="J1885" s="1128"/>
      <c r="K1885" s="1128"/>
      <c r="L1885" s="1128"/>
    </row>
    <row r="1886" spans="2:12" x14ac:dyDescent="0.2">
      <c r="B1886" s="1191"/>
      <c r="C1886" s="1130"/>
      <c r="D1886" s="1128" t="s">
        <v>1592</v>
      </c>
      <c r="E1886" s="1129"/>
      <c r="F1886" s="1128"/>
      <c r="G1886" s="1128"/>
      <c r="H1886" s="1132" t="s">
        <v>1330</v>
      </c>
      <c r="I1886" s="1134">
        <v>100</v>
      </c>
      <c r="J1886" s="1128" t="s">
        <v>1331</v>
      </c>
      <c r="K1886" s="1128"/>
      <c r="L1886" s="1128"/>
    </row>
    <row r="1887" spans="2:12" x14ac:dyDescent="0.2">
      <c r="B1887" s="1191"/>
      <c r="C1887" s="1130"/>
      <c r="D1887" s="1128" t="s">
        <v>1593</v>
      </c>
      <c r="E1887" s="1129"/>
      <c r="F1887" s="1128"/>
      <c r="G1887" s="1128"/>
      <c r="H1887" s="1132" t="s">
        <v>1330</v>
      </c>
      <c r="I1887" s="1134">
        <v>15</v>
      </c>
      <c r="J1887" s="1128" t="s">
        <v>1331</v>
      </c>
      <c r="K1887" s="1128"/>
      <c r="L1887" s="1128"/>
    </row>
    <row r="1888" spans="2:12" x14ac:dyDescent="0.2">
      <c r="B1888" s="1191"/>
      <c r="C1888" s="1130"/>
      <c r="D1888" s="1128" t="s">
        <v>1594</v>
      </c>
      <c r="E1888" s="1129"/>
      <c r="F1888" s="1128"/>
      <c r="G1888" s="1128"/>
      <c r="H1888" s="1128"/>
      <c r="I1888" s="1128"/>
      <c r="J1888" s="1128"/>
      <c r="K1888" s="1128"/>
      <c r="L1888" s="1128"/>
    </row>
    <row r="1889" spans="2:12" x14ac:dyDescent="0.2">
      <c r="B1889" s="1191"/>
      <c r="C1889" s="1130"/>
      <c r="D1889" s="1128" t="s">
        <v>1595</v>
      </c>
      <c r="E1889" s="1129"/>
      <c r="F1889" s="1128"/>
      <c r="G1889" s="1128"/>
      <c r="H1889" s="1128"/>
      <c r="I1889" s="1128"/>
      <c r="J1889" s="1128"/>
      <c r="K1889" s="1128"/>
      <c r="L1889" s="1128"/>
    </row>
    <row r="1890" spans="2:12" x14ac:dyDescent="0.2">
      <c r="B1890" s="1191"/>
      <c r="C1890" s="1130"/>
      <c r="D1890" s="1128" t="s">
        <v>1596</v>
      </c>
      <c r="E1890" s="1129"/>
      <c r="F1890" s="1128"/>
      <c r="G1890" s="1128"/>
      <c r="H1890" s="1128"/>
      <c r="I1890" s="1128"/>
      <c r="J1890" s="1128"/>
      <c r="K1890" s="1128"/>
      <c r="L1890" s="1128"/>
    </row>
    <row r="1891" spans="2:12" x14ac:dyDescent="0.2">
      <c r="B1891" s="1191"/>
      <c r="C1891" s="1130"/>
      <c r="D1891" s="1128" t="s">
        <v>1597</v>
      </c>
      <c r="E1891" s="1129"/>
      <c r="F1891" s="1128"/>
      <c r="G1891" s="1128"/>
      <c r="H1891" s="1128"/>
      <c r="I1891" s="1128"/>
      <c r="J1891" s="1128"/>
      <c r="K1891" s="1128"/>
      <c r="L1891" s="1128"/>
    </row>
    <row r="1892" spans="2:12" x14ac:dyDescent="0.2">
      <c r="B1892" s="1191"/>
      <c r="C1892" s="1140"/>
      <c r="D1892" s="1132"/>
      <c r="E1892" s="1129"/>
      <c r="F1892" s="1128"/>
      <c r="G1892" s="1128"/>
      <c r="H1892" s="1128"/>
      <c r="I1892" s="1128"/>
      <c r="J1892" s="1128"/>
      <c r="K1892" s="1128"/>
      <c r="L1892" s="1128"/>
    </row>
    <row r="1893" spans="2:12" x14ac:dyDescent="0.2">
      <c r="B1893" s="1191"/>
      <c r="C1893" s="1140"/>
      <c r="D1893" s="1132"/>
      <c r="E1893" s="1142" t="s">
        <v>1373</v>
      </c>
      <c r="F1893" s="1128"/>
      <c r="G1893" s="1143" t="s">
        <v>1374</v>
      </c>
      <c r="H1893" s="1144">
        <v>100</v>
      </c>
      <c r="I1893" s="1128" t="s">
        <v>1012</v>
      </c>
      <c r="J1893" s="1128"/>
      <c r="K1893" s="1128"/>
      <c r="L1893" s="1128"/>
    </row>
    <row r="1894" spans="2:12" x14ac:dyDescent="0.2">
      <c r="B1894" s="1191"/>
      <c r="C1894" s="1140"/>
      <c r="D1894" s="1145" t="s">
        <v>1375</v>
      </c>
      <c r="E1894" s="1129"/>
      <c r="F1894" s="1128"/>
      <c r="G1894" s="1128"/>
      <c r="H1894" s="1128"/>
      <c r="I1894" s="1128"/>
      <c r="J1894" s="1128"/>
      <c r="K1894" s="1128"/>
      <c r="L1894" s="1128"/>
    </row>
    <row r="1895" spans="2:12" x14ac:dyDescent="0.2">
      <c r="B1895" s="1191"/>
      <c r="C1895" s="1140"/>
      <c r="D1895" s="1146" t="s">
        <v>1376</v>
      </c>
      <c r="E1895" s="1147" t="s">
        <v>1377</v>
      </c>
      <c r="F1895" s="1146" t="s">
        <v>1378</v>
      </c>
      <c r="G1895" s="1146" t="s">
        <v>139</v>
      </c>
      <c r="H1895" s="1146" t="s">
        <v>140</v>
      </c>
      <c r="I1895" s="1146" t="s">
        <v>141</v>
      </c>
      <c r="J1895" s="1128"/>
      <c r="K1895" s="1128"/>
      <c r="L1895" s="1128"/>
    </row>
    <row r="1896" spans="2:12" x14ac:dyDescent="0.2">
      <c r="B1896" s="1191"/>
      <c r="C1896" s="1140"/>
      <c r="D1896" s="1148"/>
      <c r="E1896" s="1149"/>
      <c r="F1896" s="1148"/>
      <c r="G1896" s="1148"/>
      <c r="H1896" s="1148" t="s">
        <v>1379</v>
      </c>
      <c r="I1896" s="1148" t="s">
        <v>1379</v>
      </c>
      <c r="J1896" s="1128"/>
      <c r="K1896" s="1128"/>
      <c r="L1896" s="1128"/>
    </row>
    <row r="1897" spans="2:12" x14ac:dyDescent="0.2">
      <c r="B1897" s="1191"/>
      <c r="C1897" s="1140"/>
      <c r="D1897" s="1146">
        <v>1</v>
      </c>
      <c r="E1897" s="1154" t="s">
        <v>1598</v>
      </c>
      <c r="F1897" s="1146" t="s">
        <v>1012</v>
      </c>
      <c r="G1897" s="1151">
        <v>100</v>
      </c>
      <c r="H1897" s="1215">
        <f>H1845</f>
        <v>762.74827355542845</v>
      </c>
      <c r="I1897" s="1350">
        <f>G1897*H1897</f>
        <v>76274.827355542846</v>
      </c>
      <c r="J1897" s="1128"/>
      <c r="K1897" s="1128"/>
      <c r="L1897" s="1128"/>
    </row>
    <row r="1898" spans="2:12" ht="25.5" x14ac:dyDescent="0.2">
      <c r="B1898" s="1191"/>
      <c r="C1898" s="1140"/>
      <c r="D1898" s="1148">
        <v>2</v>
      </c>
      <c r="E1898" s="1154" t="s">
        <v>1599</v>
      </c>
      <c r="F1898" s="1148"/>
      <c r="G1898" s="1151">
        <v>15</v>
      </c>
      <c r="H1898" s="1215">
        <f>H1846</f>
        <v>794.74827355542845</v>
      </c>
      <c r="I1898" s="1350">
        <f>G1898*H1898</f>
        <v>11921.224103331428</v>
      </c>
      <c r="J1898" s="1128"/>
      <c r="K1898" s="1128"/>
      <c r="L1898" s="1128"/>
    </row>
    <row r="1899" spans="2:12" ht="38.25" x14ac:dyDescent="0.2">
      <c r="B1899" s="1191"/>
      <c r="C1899" s="1140"/>
      <c r="D1899" s="1337"/>
      <c r="E1899" s="1343" t="s">
        <v>1600</v>
      </c>
      <c r="F1899" s="1338"/>
      <c r="G1899" s="1172"/>
      <c r="H1899" s="1160" t="s">
        <v>1382</v>
      </c>
      <c r="I1899" s="1151">
        <v>0</v>
      </c>
      <c r="J1899" s="1128"/>
      <c r="K1899" s="1128"/>
      <c r="L1899" s="1128"/>
    </row>
    <row r="1900" spans="2:12" x14ac:dyDescent="0.2">
      <c r="B1900" s="1191"/>
      <c r="C1900" s="1140"/>
      <c r="D1900" s="1156"/>
      <c r="E1900" s="1157" t="s">
        <v>1381</v>
      </c>
      <c r="F1900" s="1158"/>
      <c r="G1900" s="1159"/>
      <c r="H1900" s="1160" t="s">
        <v>1382</v>
      </c>
      <c r="I1900" s="1170">
        <f>SUM(I1897:I1899)</f>
        <v>88196.051458874281</v>
      </c>
      <c r="J1900" s="1128"/>
      <c r="K1900" s="1128"/>
      <c r="L1900" s="1128"/>
    </row>
    <row r="1901" spans="2:12" x14ac:dyDescent="0.2">
      <c r="B1901" s="1191"/>
      <c r="C1901" s="1140"/>
      <c r="D1901" s="1132"/>
      <c r="E1901" s="1129"/>
      <c r="F1901" s="1128"/>
      <c r="G1901" s="1128"/>
      <c r="H1901" s="1128"/>
      <c r="I1901" s="1128"/>
      <c r="J1901" s="1128"/>
      <c r="K1901" s="1128"/>
      <c r="L1901" s="1128"/>
    </row>
    <row r="1902" spans="2:12" x14ac:dyDescent="0.2">
      <c r="B1902" s="1191"/>
      <c r="C1902" s="1140"/>
      <c r="D1902" s="1145" t="s">
        <v>1383</v>
      </c>
      <c r="E1902" s="1129"/>
      <c r="F1902" s="1128"/>
      <c r="G1902" s="1128"/>
      <c r="H1902" s="1128"/>
      <c r="I1902" s="1128"/>
      <c r="J1902" s="1128"/>
      <c r="K1902" s="1128"/>
      <c r="L1902" s="1128"/>
    </row>
    <row r="1903" spans="2:12" x14ac:dyDescent="0.2">
      <c r="B1903" s="1191"/>
      <c r="C1903" s="1140"/>
      <c r="D1903" s="1146" t="s">
        <v>1376</v>
      </c>
      <c r="E1903" s="1147" t="s">
        <v>284</v>
      </c>
      <c r="F1903" s="1146" t="s">
        <v>1378</v>
      </c>
      <c r="G1903" s="1146" t="s">
        <v>139</v>
      </c>
      <c r="H1903" s="1146" t="s">
        <v>140</v>
      </c>
      <c r="I1903" s="1146" t="s">
        <v>141</v>
      </c>
      <c r="J1903" s="1128"/>
      <c r="K1903" s="1128"/>
      <c r="L1903" s="1128"/>
    </row>
    <row r="1904" spans="2:12" x14ac:dyDescent="0.2">
      <c r="B1904" s="1191"/>
      <c r="C1904" s="1140"/>
      <c r="D1904" s="1148"/>
      <c r="E1904" s="1149"/>
      <c r="F1904" s="1148"/>
      <c r="G1904" s="1148"/>
      <c r="H1904" s="1148" t="s">
        <v>1379</v>
      </c>
      <c r="I1904" s="1148" t="s">
        <v>1379</v>
      </c>
      <c r="J1904" s="1128"/>
      <c r="K1904" s="1128"/>
      <c r="L1904" s="1128"/>
    </row>
    <row r="1905" spans="2:12" x14ac:dyDescent="0.2">
      <c r="B1905" s="1191"/>
      <c r="C1905" s="1140"/>
      <c r="D1905" s="1146">
        <v>1</v>
      </c>
      <c r="E1905" s="1339" t="s">
        <v>1548</v>
      </c>
      <c r="F1905" s="1146"/>
      <c r="G1905" s="1266">
        <v>0</v>
      </c>
      <c r="H1905" s="1340">
        <v>0</v>
      </c>
      <c r="I1905" s="1350">
        <f>G1905*H1905</f>
        <v>0</v>
      </c>
      <c r="J1905" s="1128"/>
      <c r="K1905" s="1128"/>
      <c r="L1905" s="1128"/>
    </row>
    <row r="1906" spans="2:12" x14ac:dyDescent="0.2">
      <c r="B1906" s="1191"/>
      <c r="C1906" s="1140"/>
      <c r="D1906" s="1336"/>
      <c r="E1906" s="1175"/>
      <c r="F1906" s="1155"/>
      <c r="G1906" s="1266">
        <v>0</v>
      </c>
      <c r="H1906" s="1340">
        <v>0</v>
      </c>
      <c r="I1906" s="1350">
        <f>G1906*H1906</f>
        <v>0</v>
      </c>
      <c r="J1906" s="1128"/>
      <c r="K1906" s="1128"/>
      <c r="L1906" s="1128"/>
    </row>
    <row r="1907" spans="2:12" ht="25.5" x14ac:dyDescent="0.2">
      <c r="B1907" s="1191"/>
      <c r="C1907" s="1140"/>
      <c r="D1907" s="1166"/>
      <c r="E1907" s="1167" t="s">
        <v>1387</v>
      </c>
      <c r="F1907" s="1168"/>
      <c r="G1907" s="1169"/>
      <c r="H1907" s="1160" t="s">
        <v>1382</v>
      </c>
      <c r="I1907" s="1161">
        <f>SUM(I1905:I1906)</f>
        <v>0</v>
      </c>
      <c r="J1907" s="1128"/>
      <c r="K1907" s="1128"/>
      <c r="L1907" s="1128"/>
    </row>
    <row r="1908" spans="2:12" x14ac:dyDescent="0.2">
      <c r="B1908" s="1191"/>
      <c r="C1908" s="1140"/>
      <c r="D1908" s="1132"/>
      <c r="E1908" s="1129"/>
      <c r="F1908" s="1128"/>
      <c r="G1908" s="1128"/>
      <c r="H1908" s="1128"/>
      <c r="I1908" s="1128"/>
      <c r="J1908" s="1128"/>
      <c r="K1908" s="1128"/>
      <c r="L1908" s="1128"/>
    </row>
    <row r="1909" spans="2:12" x14ac:dyDescent="0.2">
      <c r="B1909" s="1191"/>
      <c r="C1909" s="1140"/>
      <c r="D1909" s="1145" t="s">
        <v>1388</v>
      </c>
      <c r="E1909" s="1129"/>
      <c r="F1909" s="1128"/>
      <c r="G1909" s="1128"/>
      <c r="H1909" s="1128"/>
      <c r="I1909" s="1128"/>
      <c r="J1909" s="1128"/>
      <c r="K1909" s="1128"/>
      <c r="L1909" s="1128"/>
    </row>
    <row r="1910" spans="2:12" x14ac:dyDescent="0.2">
      <c r="B1910" s="1191"/>
      <c r="C1910" s="1140"/>
      <c r="D1910" s="1146" t="s">
        <v>1376</v>
      </c>
      <c r="E1910" s="1147" t="s">
        <v>284</v>
      </c>
      <c r="F1910" s="1146" t="s">
        <v>1378</v>
      </c>
      <c r="G1910" s="1146" t="s">
        <v>139</v>
      </c>
      <c r="H1910" s="1146" t="s">
        <v>140</v>
      </c>
      <c r="I1910" s="1146" t="s">
        <v>141</v>
      </c>
      <c r="J1910" s="1128"/>
      <c r="K1910" s="1128"/>
      <c r="L1910" s="1128"/>
    </row>
    <row r="1911" spans="2:12" x14ac:dyDescent="0.2">
      <c r="B1911" s="1191"/>
      <c r="C1911" s="1140"/>
      <c r="D1911" s="1148"/>
      <c r="E1911" s="1149"/>
      <c r="F1911" s="1155"/>
      <c r="G1911" s="1148"/>
      <c r="H1911" s="1148" t="s">
        <v>1379</v>
      </c>
      <c r="I1911" s="1148" t="s">
        <v>1379</v>
      </c>
      <c r="J1911" s="1128"/>
      <c r="K1911" s="1128"/>
      <c r="L1911" s="1128"/>
    </row>
    <row r="1912" spans="2:12" x14ac:dyDescent="0.2">
      <c r="B1912" s="1191"/>
      <c r="C1912" s="1140"/>
      <c r="D1912" s="1155">
        <v>1</v>
      </c>
      <c r="E1912" s="1171" t="s">
        <v>1601</v>
      </c>
      <c r="F1912" s="1146" t="s">
        <v>1392</v>
      </c>
      <c r="G1912" s="1172">
        <v>6</v>
      </c>
      <c r="H1912" s="1173">
        <f>H1863</f>
        <v>375</v>
      </c>
      <c r="I1912" s="1350">
        <f>G1912*H1912</f>
        <v>2250</v>
      </c>
      <c r="J1912" s="1128"/>
      <c r="K1912" s="1128"/>
      <c r="L1912" s="1128"/>
    </row>
    <row r="1913" spans="2:12" x14ac:dyDescent="0.2">
      <c r="B1913" s="1191"/>
      <c r="C1913" s="1140"/>
      <c r="D1913" s="1155">
        <v>2</v>
      </c>
      <c r="E1913" s="1171" t="s">
        <v>1455</v>
      </c>
      <c r="F1913" s="1155" t="s">
        <v>1392</v>
      </c>
      <c r="G1913" s="1172">
        <v>8</v>
      </c>
      <c r="H1913" s="1348">
        <f>H1864</f>
        <v>320</v>
      </c>
      <c r="I1913" s="1350">
        <f>G1913*H1913</f>
        <v>2560</v>
      </c>
      <c r="J1913" s="1128"/>
      <c r="K1913" s="1128"/>
      <c r="L1913" s="1128"/>
    </row>
    <row r="1914" spans="2:12" x14ac:dyDescent="0.2">
      <c r="B1914" s="1191"/>
      <c r="C1914" s="1140"/>
      <c r="D1914" s="1156"/>
      <c r="E1914" s="1157" t="s">
        <v>1394</v>
      </c>
      <c r="F1914" s="1158"/>
      <c r="G1914" s="1159"/>
      <c r="H1914" s="1351" t="s">
        <v>1382</v>
      </c>
      <c r="I1914" s="1170">
        <f>SUM(I1912:I1913)</f>
        <v>4810</v>
      </c>
      <c r="J1914" s="1128"/>
      <c r="K1914" s="1128"/>
      <c r="L1914" s="1128"/>
    </row>
    <row r="1915" spans="2:12" x14ac:dyDescent="0.2">
      <c r="B1915" s="1191"/>
      <c r="C1915" s="1140"/>
      <c r="D1915" s="1174" t="s">
        <v>1395</v>
      </c>
      <c r="E1915" s="1129"/>
      <c r="F1915" s="1174"/>
      <c r="G1915" s="1176">
        <f>I1914/H1893</f>
        <v>48.1</v>
      </c>
      <c r="H1915" s="1176"/>
      <c r="I1915" s="1128"/>
      <c r="J1915" s="1128"/>
      <c r="K1915" s="1128"/>
      <c r="L1915" s="1128"/>
    </row>
    <row r="1916" spans="2:12" x14ac:dyDescent="0.2">
      <c r="B1916" s="1191"/>
      <c r="C1916" s="1140"/>
      <c r="D1916" s="1174" t="s">
        <v>2104</v>
      </c>
      <c r="E1916" s="1129"/>
      <c r="F1916" s="1944">
        <f>G1925</f>
        <v>0.13614999999999999</v>
      </c>
      <c r="G1916" s="1176">
        <f>G1915*F1916</f>
        <v>6.5488150000000003</v>
      </c>
      <c r="H1916" s="1176"/>
      <c r="I1916" s="1128"/>
      <c r="J1916" s="1128"/>
      <c r="K1916" s="1128"/>
      <c r="L1916" s="1128"/>
    </row>
    <row r="1917" spans="2:12" x14ac:dyDescent="0.2">
      <c r="B1917" s="1191"/>
      <c r="C1917" s="1140"/>
      <c r="D1917" s="1174" t="s">
        <v>2103</v>
      </c>
      <c r="E1917" s="1129"/>
      <c r="F1917" s="1174"/>
      <c r="G1917" s="1177">
        <f>SUM(G1915:G1916)</f>
        <v>54.648814999999999</v>
      </c>
      <c r="H1917" s="1176"/>
      <c r="I1917" s="1128"/>
      <c r="J1917" s="1128"/>
      <c r="K1917" s="1128"/>
      <c r="L1917" s="1128"/>
    </row>
    <row r="1918" spans="2:12" x14ac:dyDescent="0.2">
      <c r="B1918" s="1191"/>
      <c r="C1918" s="1140"/>
      <c r="D1918" s="1128"/>
      <c r="E1918" s="1129"/>
      <c r="F1918" s="1128"/>
      <c r="G1918" s="1128"/>
      <c r="H1918" s="1128"/>
      <c r="I1918" s="1128"/>
      <c r="J1918" s="1128"/>
      <c r="K1918" s="1128"/>
      <c r="L1918" s="1128"/>
    </row>
    <row r="1919" spans="2:12" x14ac:dyDescent="0.2">
      <c r="B1919" s="1191"/>
      <c r="C1919" s="1140"/>
      <c r="D1919" s="1178" t="s">
        <v>1396</v>
      </c>
      <c r="E1919" s="1129"/>
      <c r="F1919" s="1128"/>
      <c r="G1919" s="1128"/>
      <c r="H1919" s="1128"/>
      <c r="I1919" s="1128"/>
      <c r="J1919" s="1128"/>
      <c r="K1919" s="1128"/>
      <c r="L1919" s="1128"/>
    </row>
    <row r="1920" spans="2:12" x14ac:dyDescent="0.2">
      <c r="B1920" s="1191"/>
      <c r="C1920" s="1140"/>
      <c r="D1920" s="1128" t="s">
        <v>1515</v>
      </c>
      <c r="E1920" s="1129"/>
      <c r="F1920" s="1128"/>
      <c r="G1920" s="1128"/>
      <c r="H1920" s="1143" t="s">
        <v>1382</v>
      </c>
      <c r="I1920" s="1134">
        <f>I1900</f>
        <v>88196.051458874281</v>
      </c>
      <c r="J1920" s="1128"/>
      <c r="K1920" s="1128"/>
      <c r="L1920" s="1128"/>
    </row>
    <row r="1921" spans="2:12" x14ac:dyDescent="0.2">
      <c r="B1921" s="1191"/>
      <c r="C1921" s="1140"/>
      <c r="D1921" s="1128" t="s">
        <v>1398</v>
      </c>
      <c r="E1921" s="1129"/>
      <c r="F1921" s="1128"/>
      <c r="G1921" s="1128"/>
      <c r="H1921" s="1143" t="s">
        <v>1382</v>
      </c>
      <c r="I1921" s="1134">
        <f>I1907</f>
        <v>0</v>
      </c>
      <c r="J1921" s="1128"/>
      <c r="K1921" s="1128"/>
      <c r="L1921" s="1128"/>
    </row>
    <row r="1922" spans="2:12" x14ac:dyDescent="0.2">
      <c r="B1922" s="1191"/>
      <c r="C1922" s="1140"/>
      <c r="D1922" s="1128" t="s">
        <v>1399</v>
      </c>
      <c r="E1922" s="1129"/>
      <c r="F1922" s="1128"/>
      <c r="G1922" s="1128"/>
      <c r="H1922" s="1143" t="s">
        <v>1382</v>
      </c>
      <c r="I1922" s="1179">
        <f>I1914</f>
        <v>4810</v>
      </c>
      <c r="J1922" s="1128" t="s">
        <v>1400</v>
      </c>
      <c r="K1922" s="1128"/>
      <c r="L1922" s="1128"/>
    </row>
    <row r="1923" spans="2:12" x14ac:dyDescent="0.2">
      <c r="B1923" s="1191"/>
      <c r="C1923" s="1140"/>
      <c r="D1923" s="1128"/>
      <c r="E1923" s="129" t="str">
        <f>+IF($I$4=0%,"---","Municipal allowance")</f>
        <v>Municipal allowance</v>
      </c>
      <c r="F1923" s="928">
        <f>$I$4</f>
        <v>0.2</v>
      </c>
      <c r="G1923" s="1128"/>
      <c r="H1923" s="1143"/>
      <c r="I1923" s="1179">
        <f>I1922*F1923</f>
        <v>962</v>
      </c>
      <c r="J1923" s="1128"/>
      <c r="K1923" s="1128"/>
      <c r="L1923" s="1128"/>
    </row>
    <row r="1924" spans="2:12" x14ac:dyDescent="0.2">
      <c r="B1924" s="1191"/>
      <c r="C1924" s="1140"/>
      <c r="D1924" s="1132"/>
      <c r="E1924" s="1129"/>
      <c r="F1924" s="1128"/>
      <c r="G1924" s="1272"/>
      <c r="H1924" s="1143" t="s">
        <v>1457</v>
      </c>
      <c r="I1924" s="1181">
        <f>SUM(I1920:I1923)</f>
        <v>93968.051458874281</v>
      </c>
      <c r="J1924" s="1128"/>
      <c r="K1924" s="1128"/>
      <c r="L1924" s="1128"/>
    </row>
    <row r="1925" spans="2:12" x14ac:dyDescent="0.2">
      <c r="B1925" s="1191"/>
      <c r="C1925" s="1140"/>
      <c r="D1925" s="2040" t="s">
        <v>2105</v>
      </c>
      <c r="E1925" s="2040"/>
      <c r="F1925" s="2040"/>
      <c r="G1925" s="1940">
        <f>+$I$5</f>
        <v>0.13614999999999999</v>
      </c>
      <c r="H1925" s="1143" t="s">
        <v>1382</v>
      </c>
      <c r="I1925" s="1174">
        <f>I1924*G1925</f>
        <v>12793.750206125733</v>
      </c>
      <c r="J1925" s="1128"/>
      <c r="K1925" s="1128"/>
      <c r="L1925" s="1128"/>
    </row>
    <row r="1926" spans="2:12" x14ac:dyDescent="0.2">
      <c r="B1926" s="1191"/>
      <c r="C1926" s="1140"/>
      <c r="D1926" s="1128" t="s">
        <v>1402</v>
      </c>
      <c r="E1926" s="1129"/>
      <c r="F1926" s="1182">
        <v>100</v>
      </c>
      <c r="G1926" s="1182" t="s">
        <v>1012</v>
      </c>
      <c r="H1926" s="1143" t="s">
        <v>1382</v>
      </c>
      <c r="I1926" s="1182">
        <f>SUM(I1924:I1925)</f>
        <v>106761.80166500001</v>
      </c>
      <c r="J1926" s="1128"/>
      <c r="K1926" s="1128"/>
      <c r="L1926" s="1128"/>
    </row>
    <row r="1927" spans="2:12" x14ac:dyDescent="0.2">
      <c r="B1927" s="1191"/>
      <c r="C1927" s="1140"/>
      <c r="D1927" s="1183" t="s">
        <v>1403</v>
      </c>
      <c r="E1927" s="1352" t="s">
        <v>1012</v>
      </c>
      <c r="F1927" s="1178" t="s">
        <v>1602</v>
      </c>
      <c r="G1927" s="1128"/>
      <c r="H1927" s="1143" t="s">
        <v>1022</v>
      </c>
      <c r="I1927" s="1170">
        <f>ROUND(I1926/F1926,1)</f>
        <v>1067.5999999999999</v>
      </c>
      <c r="J1927" s="1128"/>
      <c r="K1927" s="1128"/>
      <c r="L1927" s="1128"/>
    </row>
    <row r="1928" spans="2:12" x14ac:dyDescent="0.2">
      <c r="B1928" s="1191"/>
      <c r="C1928" s="1140"/>
      <c r="D1928" s="1183"/>
      <c r="E1928" s="1352"/>
      <c r="F1928" s="1178"/>
      <c r="G1928" s="1128"/>
      <c r="H1928" s="1143"/>
      <c r="I1928" s="1182"/>
      <c r="J1928" s="1128"/>
      <c r="K1928" s="1128"/>
      <c r="L1928" s="1128"/>
    </row>
    <row r="1929" spans="2:12" ht="23.25" x14ac:dyDescent="0.2">
      <c r="B1929" s="2041" t="s">
        <v>1603</v>
      </c>
      <c r="C1929" s="1127" t="s">
        <v>1604</v>
      </c>
      <c r="D1929" s="1128" t="s">
        <v>1605</v>
      </c>
      <c r="E1929" s="1129"/>
      <c r="F1929" s="1128"/>
      <c r="G1929" s="1128"/>
      <c r="H1929" s="1128"/>
      <c r="I1929" s="1128"/>
      <c r="J1929" s="1128"/>
      <c r="K1929" s="1128"/>
      <c r="L1929" s="1128"/>
    </row>
    <row r="1930" spans="2:12" x14ac:dyDescent="0.2">
      <c r="B1930" s="2042"/>
      <c r="C1930" s="1131"/>
      <c r="D1930" s="1128" t="s">
        <v>1606</v>
      </c>
      <c r="E1930" s="1129"/>
      <c r="F1930" s="1128"/>
      <c r="G1930" s="1128"/>
      <c r="H1930" s="1128"/>
      <c r="I1930" s="1128"/>
      <c r="J1930" s="1128"/>
      <c r="K1930" s="1128"/>
      <c r="L1930" s="1128"/>
    </row>
    <row r="1931" spans="2:12" x14ac:dyDescent="0.2">
      <c r="B1931" s="2042"/>
      <c r="C1931" s="1131"/>
      <c r="D1931" s="1128" t="s">
        <v>1607</v>
      </c>
      <c r="E1931" s="1129"/>
      <c r="F1931" s="1128"/>
      <c r="G1931" s="1128"/>
      <c r="H1931" s="1128"/>
      <c r="I1931" s="1128"/>
      <c r="J1931" s="1128"/>
      <c r="K1931" s="1128"/>
      <c r="L1931" s="1128"/>
    </row>
    <row r="1932" spans="2:12" x14ac:dyDescent="0.2">
      <c r="B1932" s="2043"/>
      <c r="C1932" s="1349"/>
      <c r="D1932" s="1128" t="s">
        <v>1608</v>
      </c>
      <c r="E1932" s="1129"/>
      <c r="F1932" s="1128"/>
      <c r="G1932" s="1128"/>
      <c r="H1932" s="1128"/>
      <c r="I1932" s="1128"/>
      <c r="J1932" s="1128"/>
      <c r="K1932" s="1128"/>
      <c r="L1932" s="1128"/>
    </row>
    <row r="1933" spans="2:12" x14ac:dyDescent="0.2">
      <c r="B1933" s="1191"/>
      <c r="C1933" s="1131" t="s">
        <v>1328</v>
      </c>
      <c r="D1933" s="1128"/>
      <c r="E1933" s="1129"/>
      <c r="F1933" s="1128"/>
      <c r="G1933" s="1128"/>
      <c r="H1933" s="1128"/>
      <c r="I1933" s="1128"/>
      <c r="J1933" s="1128"/>
      <c r="K1933" s="1128"/>
      <c r="L1933" s="1128"/>
    </row>
    <row r="1934" spans="2:12" x14ac:dyDescent="0.2">
      <c r="B1934" s="1191"/>
      <c r="C1934" s="1131" t="s">
        <v>1328</v>
      </c>
      <c r="D1934" s="1128" t="s">
        <v>1609</v>
      </c>
      <c r="E1934" s="1129"/>
      <c r="F1934" s="1128"/>
      <c r="G1934" s="1128"/>
      <c r="H1934" s="1128"/>
      <c r="I1934" s="1128"/>
      <c r="J1934" s="1128"/>
      <c r="K1934" s="1128"/>
      <c r="L1934" s="1128"/>
    </row>
    <row r="1935" spans="2:12" x14ac:dyDescent="0.2">
      <c r="B1935" s="1191"/>
      <c r="C1935" s="1130"/>
      <c r="D1935" s="1128" t="s">
        <v>1610</v>
      </c>
      <c r="E1935" s="1129"/>
      <c r="F1935" s="1128"/>
      <c r="G1935" s="1128"/>
      <c r="H1935" s="1132" t="s">
        <v>1330</v>
      </c>
      <c r="I1935" s="1128">
        <v>105</v>
      </c>
      <c r="J1935" s="1128" t="s">
        <v>1497</v>
      </c>
      <c r="K1935" s="1128"/>
      <c r="L1935" s="1128"/>
    </row>
    <row r="1936" spans="2:12" x14ac:dyDescent="0.2">
      <c r="B1936" s="1191"/>
      <c r="C1936" s="1130"/>
      <c r="D1936" s="1128" t="s">
        <v>1611</v>
      </c>
      <c r="E1936" s="1129"/>
      <c r="F1936" s="1128"/>
      <c r="G1936" s="1128"/>
      <c r="H1936" s="1132" t="s">
        <v>1330</v>
      </c>
      <c r="I1936" s="1134">
        <v>0.4</v>
      </c>
      <c r="J1936" s="1128" t="s">
        <v>1331</v>
      </c>
      <c r="K1936" s="1128"/>
      <c r="L1936" s="1128"/>
    </row>
    <row r="1937" spans="2:12" x14ac:dyDescent="0.2">
      <c r="B1937" s="1191"/>
      <c r="C1937" s="1130"/>
      <c r="D1937" s="1128" t="s">
        <v>1612</v>
      </c>
      <c r="E1937" s="1129"/>
      <c r="F1937" s="1128"/>
      <c r="G1937" s="1128"/>
      <c r="H1937" s="1132" t="s">
        <v>1330</v>
      </c>
      <c r="I1937" s="1128">
        <v>200</v>
      </c>
      <c r="J1937" s="1128" t="s">
        <v>1027</v>
      </c>
      <c r="K1937" s="1128"/>
      <c r="L1937" s="1128"/>
    </row>
    <row r="1938" spans="2:12" x14ac:dyDescent="0.2">
      <c r="B1938" s="1191"/>
      <c r="C1938" s="1130"/>
      <c r="D1938" s="1128" t="s">
        <v>1613</v>
      </c>
      <c r="E1938" s="1129"/>
      <c r="F1938" s="1128"/>
      <c r="G1938" s="1128"/>
      <c r="H1938" s="1132" t="s">
        <v>1330</v>
      </c>
      <c r="I1938" s="1128">
        <v>0.4</v>
      </c>
      <c r="J1938" s="1128" t="s">
        <v>1331</v>
      </c>
      <c r="K1938" s="1128"/>
      <c r="L1938" s="1128"/>
    </row>
    <row r="1939" spans="2:12" x14ac:dyDescent="0.2">
      <c r="B1939" s="1191"/>
      <c r="C1939" s="1130"/>
      <c r="D1939" s="1128" t="s">
        <v>1614</v>
      </c>
      <c r="E1939" s="1129"/>
      <c r="F1939" s="1128"/>
      <c r="G1939" s="1128"/>
      <c r="H1939" s="1132"/>
      <c r="I1939" s="1128"/>
      <c r="J1939" s="1128"/>
      <c r="K1939" s="1128"/>
      <c r="L1939" s="1128"/>
    </row>
    <row r="1940" spans="2:12" x14ac:dyDescent="0.2">
      <c r="B1940" s="1191"/>
      <c r="C1940" s="1130"/>
      <c r="D1940" s="1128" t="s">
        <v>1615</v>
      </c>
      <c r="E1940" s="1129"/>
      <c r="F1940" s="1128"/>
      <c r="G1940" s="1128"/>
      <c r="H1940" s="1132" t="s">
        <v>1330</v>
      </c>
      <c r="I1940" s="1128">
        <v>2</v>
      </c>
      <c r="J1940" s="1128" t="s">
        <v>1577</v>
      </c>
      <c r="K1940" s="1128"/>
      <c r="L1940" s="1128"/>
    </row>
    <row r="1941" spans="2:12" x14ac:dyDescent="0.2">
      <c r="B1941" s="1191"/>
      <c r="C1941" s="1130"/>
      <c r="D1941" s="1128" t="s">
        <v>1616</v>
      </c>
      <c r="E1941" s="1129"/>
      <c r="F1941" s="1128"/>
      <c r="G1941" s="1128"/>
      <c r="H1941" s="1132" t="s">
        <v>1330</v>
      </c>
      <c r="I1941" s="1128">
        <v>4</v>
      </c>
      <c r="J1941" s="1128" t="s">
        <v>1577</v>
      </c>
      <c r="K1941" s="1128"/>
      <c r="L1941" s="1128"/>
    </row>
    <row r="1942" spans="2:12" x14ac:dyDescent="0.2">
      <c r="B1942" s="1191"/>
      <c r="C1942" s="1130"/>
      <c r="D1942" s="1128" t="s">
        <v>1617</v>
      </c>
      <c r="E1942" s="1129"/>
      <c r="F1942" s="1128"/>
      <c r="G1942" s="1128"/>
      <c r="H1942" s="1132" t="s">
        <v>1330</v>
      </c>
      <c r="I1942" s="1128">
        <v>4</v>
      </c>
      <c r="J1942" s="1128" t="s">
        <v>1577</v>
      </c>
      <c r="K1942" s="1128"/>
      <c r="L1942" s="1128"/>
    </row>
    <row r="1943" spans="2:12" x14ac:dyDescent="0.2">
      <c r="B1943" s="1191"/>
      <c r="C1943" s="1130"/>
      <c r="D1943" s="1128" t="s">
        <v>1618</v>
      </c>
      <c r="E1943" s="1129"/>
      <c r="F1943" s="1128"/>
      <c r="G1943" s="1128"/>
      <c r="H1943" s="1132" t="s">
        <v>1330</v>
      </c>
      <c r="I1943" s="1128">
        <v>2</v>
      </c>
      <c r="J1943" s="1128" t="s">
        <v>1577</v>
      </c>
      <c r="K1943" s="1128"/>
      <c r="L1943" s="1128"/>
    </row>
    <row r="1944" spans="2:12" x14ac:dyDescent="0.2">
      <c r="B1944" s="1191"/>
      <c r="C1944" s="1130"/>
      <c r="D1944" s="1128" t="s">
        <v>1619</v>
      </c>
      <c r="E1944" s="1129"/>
      <c r="F1944" s="1128"/>
      <c r="G1944" s="1128"/>
      <c r="H1944" s="1132" t="s">
        <v>1330</v>
      </c>
      <c r="I1944" s="1128">
        <v>1</v>
      </c>
      <c r="J1944" s="1128" t="s">
        <v>1620</v>
      </c>
      <c r="K1944" s="1128"/>
      <c r="L1944" s="1128"/>
    </row>
    <row r="1945" spans="2:12" x14ac:dyDescent="0.2">
      <c r="B1945" s="1191"/>
      <c r="C1945" s="1130"/>
      <c r="D1945" s="1128" t="s">
        <v>1621</v>
      </c>
      <c r="E1945" s="1129"/>
      <c r="F1945" s="1128"/>
      <c r="G1945" s="1128"/>
      <c r="H1945" s="1132" t="s">
        <v>1330</v>
      </c>
      <c r="I1945" s="1128">
        <v>1</v>
      </c>
      <c r="J1945" s="1128" t="s">
        <v>1620</v>
      </c>
      <c r="K1945" s="1128"/>
      <c r="L1945" s="1128"/>
    </row>
    <row r="1946" spans="2:12" x14ac:dyDescent="0.2">
      <c r="B1946" s="1191"/>
      <c r="C1946" s="1130"/>
      <c r="D1946" s="1128" t="s">
        <v>1622</v>
      </c>
      <c r="E1946" s="1129"/>
      <c r="F1946" s="1128"/>
      <c r="G1946" s="1128"/>
      <c r="H1946" s="1132" t="s">
        <v>1330</v>
      </c>
      <c r="I1946" s="1128">
        <v>1</v>
      </c>
      <c r="J1946" s="1128" t="s">
        <v>1620</v>
      </c>
      <c r="K1946" s="1128"/>
      <c r="L1946" s="1128"/>
    </row>
    <row r="1947" spans="2:12" x14ac:dyDescent="0.2">
      <c r="B1947" s="1191"/>
      <c r="C1947" s="1140"/>
      <c r="D1947" s="1132"/>
      <c r="E1947" s="1129"/>
      <c r="F1947" s="1128"/>
      <c r="G1947" s="1128"/>
      <c r="H1947" s="1128"/>
      <c r="I1947" s="1128"/>
      <c r="J1947" s="1128"/>
      <c r="K1947" s="1128"/>
      <c r="L1947" s="1128"/>
    </row>
    <row r="1948" spans="2:12" x14ac:dyDescent="0.2">
      <c r="B1948" s="1191"/>
      <c r="C1948" s="1140"/>
      <c r="D1948" s="1132"/>
      <c r="E1948" s="1334" t="s">
        <v>1373</v>
      </c>
      <c r="F1948" s="1128"/>
      <c r="G1948" s="1143" t="s">
        <v>1374</v>
      </c>
      <c r="H1948" s="1144">
        <v>100</v>
      </c>
      <c r="I1948" s="1128" t="s">
        <v>1085</v>
      </c>
      <c r="J1948" s="1128"/>
      <c r="K1948" s="1128"/>
      <c r="L1948" s="1128"/>
    </row>
    <row r="1949" spans="2:12" x14ac:dyDescent="0.2">
      <c r="B1949" s="1191"/>
      <c r="C1949" s="1140"/>
      <c r="D1949" s="1183" t="s">
        <v>1375</v>
      </c>
      <c r="E1949" s="1129"/>
      <c r="F1949" s="1128"/>
      <c r="G1949" s="1128"/>
      <c r="H1949" s="1128"/>
      <c r="I1949" s="1128"/>
      <c r="J1949" s="1128"/>
      <c r="K1949" s="1128"/>
      <c r="L1949" s="1128"/>
    </row>
    <row r="1950" spans="2:12" x14ac:dyDescent="0.2">
      <c r="B1950" s="1191"/>
      <c r="C1950" s="1140"/>
      <c r="D1950" s="1146" t="s">
        <v>1376</v>
      </c>
      <c r="E1950" s="1147" t="s">
        <v>1377</v>
      </c>
      <c r="F1950" s="1146" t="s">
        <v>1378</v>
      </c>
      <c r="G1950" s="1146" t="s">
        <v>139</v>
      </c>
      <c r="H1950" s="1146" t="s">
        <v>140</v>
      </c>
      <c r="I1950" s="1146" t="s">
        <v>141</v>
      </c>
      <c r="J1950" s="1128"/>
      <c r="K1950" s="1128"/>
      <c r="L1950" s="1128"/>
    </row>
    <row r="1951" spans="2:12" x14ac:dyDescent="0.2">
      <c r="B1951" s="1191"/>
      <c r="C1951" s="1140"/>
      <c r="D1951" s="1148"/>
      <c r="E1951" s="1149"/>
      <c r="F1951" s="1148"/>
      <c r="G1951" s="1148"/>
      <c r="H1951" s="1148" t="s">
        <v>1379</v>
      </c>
      <c r="I1951" s="1148" t="s">
        <v>1379</v>
      </c>
      <c r="J1951" s="1128"/>
      <c r="K1951" s="1128"/>
      <c r="L1951" s="1128"/>
    </row>
    <row r="1952" spans="2:12" x14ac:dyDescent="0.2">
      <c r="B1952" s="1191"/>
      <c r="C1952" s="1140"/>
      <c r="D1952" s="1146">
        <v>1</v>
      </c>
      <c r="E1952" s="1171" t="s">
        <v>1623</v>
      </c>
      <c r="F1952" s="1146" t="s">
        <v>1085</v>
      </c>
      <c r="G1952" s="1266">
        <v>105</v>
      </c>
      <c r="H1952" s="1353">
        <f>Lead!K23</f>
        <v>254.57041367777143</v>
      </c>
      <c r="I1952" s="1354">
        <f>G1952*H1952</f>
        <v>26729.893436165999</v>
      </c>
      <c r="J1952" s="1128"/>
      <c r="K1952" s="1128"/>
      <c r="L1952" s="1128"/>
    </row>
    <row r="1953" spans="2:12" x14ac:dyDescent="0.2">
      <c r="B1953" s="1191"/>
      <c r="C1953" s="1140"/>
      <c r="D1953" s="1155">
        <v>2</v>
      </c>
      <c r="E1953" s="1171" t="s">
        <v>1624</v>
      </c>
      <c r="F1953" s="1155" t="s">
        <v>1027</v>
      </c>
      <c r="G1953" s="1266">
        <v>200</v>
      </c>
      <c r="H1953" s="1355">
        <f>Lead!K15/1000</f>
        <v>6.4</v>
      </c>
      <c r="I1953" s="1354">
        <f>G1953*H1953</f>
        <v>1280</v>
      </c>
      <c r="J1953" s="1128"/>
      <c r="K1953" s="1128"/>
      <c r="L1953" s="1128"/>
    </row>
    <row r="1954" spans="2:12" x14ac:dyDescent="0.2">
      <c r="B1954" s="1191"/>
      <c r="C1954" s="1140"/>
      <c r="D1954" s="1148">
        <v>3</v>
      </c>
      <c r="E1954" s="1175" t="s">
        <v>1625</v>
      </c>
      <c r="F1954" s="1148" t="s">
        <v>1012</v>
      </c>
      <c r="G1954" s="1266">
        <v>0.4</v>
      </c>
      <c r="H1954" s="1340">
        <f>Lead!K12</f>
        <v>1077.7366188443427</v>
      </c>
      <c r="I1954" s="1354">
        <f>G1954*H1954</f>
        <v>431.0946475377371</v>
      </c>
      <c r="J1954" s="1128"/>
      <c r="K1954" s="1128"/>
      <c r="L1954" s="1128"/>
    </row>
    <row r="1955" spans="2:12" ht="38.25" x14ac:dyDescent="0.2">
      <c r="B1955" s="1191"/>
      <c r="C1955" s="1140"/>
      <c r="D1955" s="1337"/>
      <c r="E1955" s="1356" t="s">
        <v>1626</v>
      </c>
      <c r="F1955" s="1338"/>
      <c r="G1955" s="1357"/>
      <c r="H1955" s="1160" t="s">
        <v>1382</v>
      </c>
      <c r="I1955" s="1354">
        <v>0</v>
      </c>
      <c r="J1955" s="1128"/>
      <c r="K1955" s="1128"/>
      <c r="L1955" s="1128"/>
    </row>
    <row r="1956" spans="2:12" ht="38.25" x14ac:dyDescent="0.2">
      <c r="B1956" s="1191"/>
      <c r="C1956" s="1140"/>
      <c r="D1956" s="1337"/>
      <c r="E1956" s="1356" t="s">
        <v>1627</v>
      </c>
      <c r="F1956" s="1338"/>
      <c r="G1956" s="1266"/>
      <c r="H1956" s="1160" t="s">
        <v>1382</v>
      </c>
      <c r="I1956" s="1354">
        <v>0</v>
      </c>
      <c r="J1956" s="1128"/>
      <c r="K1956" s="1128"/>
      <c r="L1956" s="1128"/>
    </row>
    <row r="1957" spans="2:12" x14ac:dyDescent="0.2">
      <c r="B1957" s="1191"/>
      <c r="C1957" s="1140"/>
      <c r="D1957" s="1156"/>
      <c r="E1957" s="1157" t="s">
        <v>1381</v>
      </c>
      <c r="F1957" s="1158"/>
      <c r="G1957" s="1159"/>
      <c r="H1957" s="1160" t="s">
        <v>1382</v>
      </c>
      <c r="I1957" s="1170">
        <f>SUM(I1952:I1956)</f>
        <v>28440.988083703738</v>
      </c>
      <c r="J1957" s="1128"/>
      <c r="K1957" s="1128"/>
      <c r="L1957" s="1128"/>
    </row>
    <row r="1958" spans="2:12" x14ac:dyDescent="0.2">
      <c r="B1958" s="1191"/>
      <c r="C1958" s="1140"/>
      <c r="D1958" s="1132"/>
      <c r="E1958" s="1129"/>
      <c r="F1958" s="1128"/>
      <c r="G1958" s="1128"/>
      <c r="H1958" s="1128"/>
      <c r="I1958" s="1128"/>
      <c r="J1958" s="1128"/>
      <c r="K1958" s="1128"/>
      <c r="L1958" s="1128"/>
    </row>
    <row r="1959" spans="2:12" x14ac:dyDescent="0.2">
      <c r="B1959" s="1191"/>
      <c r="C1959" s="1140"/>
      <c r="D1959" s="1183" t="s">
        <v>1383</v>
      </c>
      <c r="E1959" s="1129"/>
      <c r="F1959" s="1128"/>
      <c r="G1959" s="1128"/>
      <c r="H1959" s="1128"/>
      <c r="I1959" s="1128"/>
      <c r="J1959" s="1128"/>
      <c r="K1959" s="1128"/>
      <c r="L1959" s="1128"/>
    </row>
    <row r="1960" spans="2:12" x14ac:dyDescent="0.2">
      <c r="B1960" s="1191"/>
      <c r="C1960" s="1140"/>
      <c r="D1960" s="1146" t="s">
        <v>1376</v>
      </c>
      <c r="E1960" s="1147" t="s">
        <v>284</v>
      </c>
      <c r="F1960" s="1146" t="s">
        <v>1378</v>
      </c>
      <c r="G1960" s="1146" t="s">
        <v>139</v>
      </c>
      <c r="H1960" s="1146" t="s">
        <v>140</v>
      </c>
      <c r="I1960" s="1146" t="s">
        <v>141</v>
      </c>
      <c r="J1960" s="1128"/>
      <c r="K1960" s="1128"/>
      <c r="L1960" s="1128"/>
    </row>
    <row r="1961" spans="2:12" x14ac:dyDescent="0.2">
      <c r="B1961" s="1191"/>
      <c r="C1961" s="1140"/>
      <c r="D1961" s="1148"/>
      <c r="E1961" s="1149"/>
      <c r="F1961" s="1148"/>
      <c r="G1961" s="1148"/>
      <c r="H1961" s="1148" t="s">
        <v>1379</v>
      </c>
      <c r="I1961" s="1148" t="s">
        <v>1379</v>
      </c>
      <c r="J1961" s="1128"/>
      <c r="K1961" s="1128"/>
      <c r="L1961" s="1128"/>
    </row>
    <row r="1962" spans="2:12" x14ac:dyDescent="0.2">
      <c r="B1962" s="1191"/>
      <c r="C1962" s="1140"/>
      <c r="D1962" s="1146">
        <v>1</v>
      </c>
      <c r="E1962" s="1171" t="s">
        <v>1628</v>
      </c>
      <c r="F1962" s="1146" t="s">
        <v>1213</v>
      </c>
      <c r="G1962" s="1266">
        <v>2</v>
      </c>
      <c r="H1962" s="1173">
        <f>H1685</f>
        <v>10.199999999999999</v>
      </c>
      <c r="I1962" s="1354">
        <f>G1962*H1962</f>
        <v>20.399999999999999</v>
      </c>
      <c r="J1962" s="1128"/>
      <c r="K1962" s="1128"/>
      <c r="L1962" s="1128"/>
    </row>
    <row r="1963" spans="2:12" x14ac:dyDescent="0.2">
      <c r="B1963" s="1191"/>
      <c r="C1963" s="1140"/>
      <c r="D1963" s="1336"/>
      <c r="E1963" s="1171" t="s">
        <v>1385</v>
      </c>
      <c r="F1963" s="1148" t="s">
        <v>1213</v>
      </c>
      <c r="G1963" s="1266">
        <v>2</v>
      </c>
      <c r="H1963" s="1173">
        <f>H1686</f>
        <v>78.400000000000006</v>
      </c>
      <c r="I1963" s="1354">
        <f>G1963*H1963</f>
        <v>156.80000000000001</v>
      </c>
      <c r="J1963" s="1128"/>
      <c r="K1963" s="1128"/>
      <c r="L1963" s="1128"/>
    </row>
    <row r="1964" spans="2:12" ht="25.5" x14ac:dyDescent="0.2">
      <c r="B1964" s="1191"/>
      <c r="C1964" s="1140"/>
      <c r="D1964" s="1166"/>
      <c r="E1964" s="1167" t="s">
        <v>1387</v>
      </c>
      <c r="F1964" s="1168"/>
      <c r="G1964" s="1169"/>
      <c r="H1964" s="1160" t="s">
        <v>1382</v>
      </c>
      <c r="I1964" s="1161">
        <f>SUM(I1962:I1963)</f>
        <v>177.20000000000002</v>
      </c>
      <c r="J1964" s="1128"/>
      <c r="K1964" s="1128"/>
      <c r="L1964" s="1128"/>
    </row>
    <row r="1965" spans="2:12" x14ac:dyDescent="0.2">
      <c r="B1965" s="1191"/>
      <c r="C1965" s="1140"/>
      <c r="D1965" s="1132"/>
      <c r="E1965" s="1129"/>
      <c r="F1965" s="1128"/>
      <c r="G1965" s="1128"/>
      <c r="H1965" s="1128"/>
      <c r="I1965" s="1128"/>
      <c r="J1965" s="1128"/>
      <c r="K1965" s="1128"/>
      <c r="L1965" s="1128"/>
    </row>
    <row r="1966" spans="2:12" x14ac:dyDescent="0.2">
      <c r="B1966" s="1191"/>
      <c r="C1966" s="1140"/>
      <c r="D1966" s="1183" t="s">
        <v>1388</v>
      </c>
      <c r="E1966" s="1129"/>
      <c r="F1966" s="1128"/>
      <c r="G1966" s="1128"/>
      <c r="H1966" s="1128"/>
      <c r="I1966" s="1128"/>
      <c r="J1966" s="1128"/>
      <c r="K1966" s="1128"/>
      <c r="L1966" s="1128"/>
    </row>
    <row r="1967" spans="2:12" x14ac:dyDescent="0.2">
      <c r="B1967" s="1191"/>
      <c r="C1967" s="1140"/>
      <c r="D1967" s="1146" t="s">
        <v>1376</v>
      </c>
      <c r="E1967" s="1147" t="s">
        <v>284</v>
      </c>
      <c r="F1967" s="1146" t="s">
        <v>1378</v>
      </c>
      <c r="G1967" s="1146" t="s">
        <v>139</v>
      </c>
      <c r="H1967" s="1146" t="s">
        <v>140</v>
      </c>
      <c r="I1967" s="1146" t="s">
        <v>141</v>
      </c>
      <c r="J1967" s="1128"/>
      <c r="K1967" s="1128"/>
      <c r="L1967" s="1128"/>
    </row>
    <row r="1968" spans="2:12" x14ac:dyDescent="0.2">
      <c r="B1968" s="1191"/>
      <c r="C1968" s="1140"/>
      <c r="D1968" s="1148"/>
      <c r="E1968" s="1149"/>
      <c r="F1968" s="1155"/>
      <c r="G1968" s="1148"/>
      <c r="H1968" s="1148" t="s">
        <v>1379</v>
      </c>
      <c r="I1968" s="1148" t="s">
        <v>1379</v>
      </c>
      <c r="J1968" s="1128"/>
      <c r="K1968" s="1128"/>
      <c r="L1968" s="1128"/>
    </row>
    <row r="1969" spans="2:12" x14ac:dyDescent="0.2">
      <c r="B1969" s="1191"/>
      <c r="C1969" s="1140"/>
      <c r="D1969" s="1155">
        <v>1</v>
      </c>
      <c r="E1969" s="1171" t="s">
        <v>1629</v>
      </c>
      <c r="F1969" s="1146" t="s">
        <v>1213</v>
      </c>
      <c r="G1969" s="1172">
        <v>2</v>
      </c>
      <c r="H1969" s="1173">
        <f>H1700</f>
        <v>104.8</v>
      </c>
      <c r="I1969" s="1354">
        <f t="shared" ref="I1969:I1974" si="56">G1969*H1969</f>
        <v>209.6</v>
      </c>
      <c r="J1969" s="1128"/>
      <c r="K1969" s="1128"/>
      <c r="L1969" s="1128"/>
    </row>
    <row r="1970" spans="2:12" x14ac:dyDescent="0.2">
      <c r="B1970" s="1191"/>
      <c r="C1970" s="1140"/>
      <c r="D1970" s="1155">
        <v>2</v>
      </c>
      <c r="E1970" s="1171" t="s">
        <v>1391</v>
      </c>
      <c r="F1970" s="1155" t="s">
        <v>1392</v>
      </c>
      <c r="G1970" s="1172">
        <v>1</v>
      </c>
      <c r="H1970" s="1173">
        <f>H1862</f>
        <v>400</v>
      </c>
      <c r="I1970" s="1354">
        <f t="shared" si="56"/>
        <v>400</v>
      </c>
      <c r="J1970" s="1128"/>
      <c r="K1970" s="1128"/>
      <c r="L1970" s="1128"/>
    </row>
    <row r="1971" spans="2:12" x14ac:dyDescent="0.2">
      <c r="B1971" s="1191"/>
      <c r="C1971" s="1140"/>
      <c r="D1971" s="1155">
        <v>3</v>
      </c>
      <c r="E1971" s="1171" t="s">
        <v>1630</v>
      </c>
      <c r="F1971" s="1155" t="s">
        <v>1392</v>
      </c>
      <c r="G1971" s="1172">
        <v>4</v>
      </c>
      <c r="H1971" s="1267">
        <f>F380</f>
        <v>420</v>
      </c>
      <c r="I1971" s="1354">
        <f t="shared" si="56"/>
        <v>1680</v>
      </c>
      <c r="J1971" s="1128"/>
      <c r="K1971" s="1128"/>
      <c r="L1971" s="1128"/>
    </row>
    <row r="1972" spans="2:12" x14ac:dyDescent="0.2">
      <c r="B1972" s="1191"/>
      <c r="C1972" s="1140"/>
      <c r="D1972" s="1155">
        <v>4</v>
      </c>
      <c r="E1972" s="1171" t="s">
        <v>1631</v>
      </c>
      <c r="F1972" s="1155" t="s">
        <v>1392</v>
      </c>
      <c r="G1972" s="1172">
        <v>2</v>
      </c>
      <c r="H1972" s="1173">
        <f>H1912</f>
        <v>375</v>
      </c>
      <c r="I1972" s="1354">
        <f t="shared" si="56"/>
        <v>750</v>
      </c>
      <c r="J1972" s="1128"/>
      <c r="K1972" s="1128"/>
      <c r="L1972" s="1128"/>
    </row>
    <row r="1973" spans="2:12" x14ac:dyDescent="0.2">
      <c r="B1973" s="1191"/>
      <c r="C1973" s="1140"/>
      <c r="D1973" s="1155">
        <v>5</v>
      </c>
      <c r="E1973" s="1171" t="s">
        <v>1393</v>
      </c>
      <c r="F1973" s="1155" t="s">
        <v>1392</v>
      </c>
      <c r="G1973" s="1172">
        <v>8</v>
      </c>
      <c r="H1973" s="1348">
        <f>H1913</f>
        <v>320</v>
      </c>
      <c r="I1973" s="1354">
        <f t="shared" si="56"/>
        <v>2560</v>
      </c>
      <c r="J1973" s="1128"/>
      <c r="K1973" s="1128"/>
      <c r="L1973" s="1128"/>
    </row>
    <row r="1974" spans="2:12" ht="25.5" x14ac:dyDescent="0.2">
      <c r="B1974" s="1191"/>
      <c r="C1974" s="1140"/>
      <c r="D1974" s="1155">
        <v>6</v>
      </c>
      <c r="E1974" s="1171" t="s">
        <v>1632</v>
      </c>
      <c r="F1974" s="1155" t="s">
        <v>1392</v>
      </c>
      <c r="G1974" s="1172">
        <v>1</v>
      </c>
      <c r="H1974" s="1173">
        <f>H1752</f>
        <v>440</v>
      </c>
      <c r="I1974" s="1354">
        <f t="shared" si="56"/>
        <v>440</v>
      </c>
      <c r="J1974" s="1128"/>
      <c r="K1974" s="1174"/>
      <c r="L1974" s="1128"/>
    </row>
    <row r="1975" spans="2:12" x14ac:dyDescent="0.2">
      <c r="B1975" s="1191"/>
      <c r="C1975" s="1140"/>
      <c r="D1975" s="1156"/>
      <c r="E1975" s="1157" t="s">
        <v>1394</v>
      </c>
      <c r="F1975" s="1158"/>
      <c r="G1975" s="1159"/>
      <c r="H1975" s="1160" t="s">
        <v>1382</v>
      </c>
      <c r="I1975" s="1170">
        <f>SUM(I1969:I1974)</f>
        <v>6039.6</v>
      </c>
      <c r="J1975" s="1128"/>
      <c r="K1975" s="1128"/>
      <c r="L1975" s="1128"/>
    </row>
    <row r="1976" spans="2:12" x14ac:dyDescent="0.2">
      <c r="B1976" s="1191"/>
      <c r="C1976" s="1140"/>
      <c r="D1976" s="1358" t="s">
        <v>1395</v>
      </c>
      <c r="E1976" s="1175"/>
      <c r="F1976" s="1174"/>
      <c r="G1976" s="1176">
        <f>I1975/H1948</f>
        <v>60.396000000000001</v>
      </c>
      <c r="H1976" s="1128"/>
      <c r="I1976" s="1128"/>
      <c r="J1976" s="1128"/>
      <c r="K1976" s="1128"/>
      <c r="L1976" s="1128"/>
    </row>
    <row r="1977" spans="2:12" x14ac:dyDescent="0.2">
      <c r="B1977" s="1191"/>
      <c r="C1977" s="1140"/>
      <c r="D1977" s="129" t="s">
        <v>2102</v>
      </c>
      <c r="E1977" s="1175"/>
      <c r="F1977" s="1940">
        <f>G1986</f>
        <v>0.13614999999999999</v>
      </c>
      <c r="G1977" s="1176">
        <f>G1976*F1977</f>
        <v>8.2229153999999998</v>
      </c>
      <c r="H1977" s="1128"/>
      <c r="I1977" s="1128"/>
      <c r="J1977" s="1128"/>
      <c r="K1977" s="1128"/>
      <c r="L1977" s="1128"/>
    </row>
    <row r="1978" spans="2:12" x14ac:dyDescent="0.2">
      <c r="B1978" s="1191"/>
      <c r="C1978" s="1140"/>
      <c r="D1978" s="1174" t="s">
        <v>2103</v>
      </c>
      <c r="E1978" s="1175"/>
      <c r="F1978" s="1174"/>
      <c r="G1978" s="1177">
        <f>SUM(G1976:G1977)</f>
        <v>68.618915400000006</v>
      </c>
      <c r="H1978" s="1128"/>
      <c r="I1978" s="1128"/>
      <c r="J1978" s="1128"/>
      <c r="K1978" s="1128"/>
      <c r="L1978" s="1128"/>
    </row>
    <row r="1979" spans="2:12" x14ac:dyDescent="0.2">
      <c r="B1979" s="1191"/>
      <c r="C1979" s="1140"/>
      <c r="D1979" s="1132"/>
      <c r="E1979" s="1129"/>
      <c r="F1979" s="1128"/>
      <c r="G1979" s="1128"/>
      <c r="H1979" s="1128"/>
      <c r="I1979" s="1128"/>
      <c r="J1979" s="1128"/>
      <c r="K1979" s="1128"/>
      <c r="L1979" s="1128"/>
    </row>
    <row r="1980" spans="2:12" x14ac:dyDescent="0.2">
      <c r="B1980" s="1191"/>
      <c r="C1980" s="1140"/>
      <c r="D1980" s="1178" t="s">
        <v>1396</v>
      </c>
      <c r="E1980" s="1129"/>
      <c r="F1980" s="1128"/>
      <c r="G1980" s="1128"/>
      <c r="H1980" s="1128"/>
      <c r="I1980" s="1128"/>
      <c r="J1980" s="1128"/>
      <c r="K1980" s="1128"/>
      <c r="L1980" s="1128"/>
    </row>
    <row r="1981" spans="2:12" x14ac:dyDescent="0.2">
      <c r="B1981" s="1191"/>
      <c r="C1981" s="1140"/>
      <c r="D1981" s="1128" t="s">
        <v>1397</v>
      </c>
      <c r="E1981" s="1129"/>
      <c r="F1981" s="1128"/>
      <c r="G1981" s="1128"/>
      <c r="H1981" s="1143" t="s">
        <v>1382</v>
      </c>
      <c r="I1981" s="1134">
        <f>I1957</f>
        <v>28440.988083703738</v>
      </c>
      <c r="J1981" s="1128"/>
      <c r="K1981" s="1128"/>
      <c r="L1981" s="1128"/>
    </row>
    <row r="1982" spans="2:12" x14ac:dyDescent="0.2">
      <c r="B1982" s="1191"/>
      <c r="C1982" s="1140"/>
      <c r="D1982" s="1128" t="s">
        <v>1398</v>
      </c>
      <c r="E1982" s="1129"/>
      <c r="F1982" s="1128"/>
      <c r="G1982" s="1128"/>
      <c r="H1982" s="1143" t="s">
        <v>1382</v>
      </c>
      <c r="I1982" s="1134">
        <f>I1964</f>
        <v>177.20000000000002</v>
      </c>
      <c r="J1982" s="1128"/>
      <c r="K1982" s="1128"/>
      <c r="L1982" s="1128"/>
    </row>
    <row r="1983" spans="2:12" x14ac:dyDescent="0.2">
      <c r="B1983" s="1191"/>
      <c r="C1983" s="1140"/>
      <c r="D1983" s="1128" t="s">
        <v>1399</v>
      </c>
      <c r="E1983" s="1129"/>
      <c r="F1983" s="1128"/>
      <c r="G1983" s="1128"/>
      <c r="H1983" s="1143" t="s">
        <v>1382</v>
      </c>
      <c r="I1983" s="1179">
        <f>I1975</f>
        <v>6039.6</v>
      </c>
      <c r="J1983" s="1128" t="s">
        <v>1400</v>
      </c>
      <c r="K1983" s="1128"/>
      <c r="L1983" s="1128"/>
    </row>
    <row r="1984" spans="2:12" x14ac:dyDescent="0.2">
      <c r="B1984" s="1191"/>
      <c r="C1984" s="1140"/>
      <c r="D1984" s="1128"/>
      <c r="E1984" s="129" t="str">
        <f>+IF($I$4=0%,"---","Municipal allowance")</f>
        <v>Municipal allowance</v>
      </c>
      <c r="F1984" s="928">
        <f>$I$4</f>
        <v>0.2</v>
      </c>
      <c r="G1984" s="1128"/>
      <c r="H1984" s="1143"/>
      <c r="I1984" s="1179">
        <f>I1983*F1984</f>
        <v>1207.92</v>
      </c>
      <c r="J1984" s="1128"/>
      <c r="K1984" s="1128"/>
      <c r="L1984" s="1128"/>
    </row>
    <row r="1985" spans="2:12" x14ac:dyDescent="0.2">
      <c r="B1985" s="1191"/>
      <c r="C1985" s="1140"/>
      <c r="D1985" s="1132"/>
      <c r="E1985" s="1129"/>
      <c r="F1985" s="1128"/>
      <c r="G1985" s="1128"/>
      <c r="H1985" s="1143" t="s">
        <v>1457</v>
      </c>
      <c r="I1985" s="1181">
        <f>SUM(I1981:I1984)</f>
        <v>35865.708083703736</v>
      </c>
      <c r="J1985" s="1128"/>
      <c r="K1985" s="1128"/>
      <c r="L1985" s="1128"/>
    </row>
    <row r="1986" spans="2:12" x14ac:dyDescent="0.2">
      <c r="B1986" s="1191"/>
      <c r="C1986" s="1140"/>
      <c r="D1986" s="2040" t="s">
        <v>2105</v>
      </c>
      <c r="E1986" s="2040"/>
      <c r="F1986" s="2040"/>
      <c r="G1986" s="1940">
        <f>+$I$5</f>
        <v>0.13614999999999999</v>
      </c>
      <c r="H1986" s="1143" t="s">
        <v>1382</v>
      </c>
      <c r="I1986" s="1174">
        <f>I1985*G1986</f>
        <v>4883.1161555962635</v>
      </c>
      <c r="J1986" s="1128"/>
      <c r="K1986" s="1128"/>
      <c r="L1986" s="1128"/>
    </row>
    <row r="1987" spans="2:12" x14ac:dyDescent="0.2">
      <c r="B1987" s="1191"/>
      <c r="C1987" s="1140"/>
      <c r="D1987" s="1128" t="s">
        <v>1402</v>
      </c>
      <c r="E1987" s="1129"/>
      <c r="F1987" s="1182">
        <f>H1948</f>
        <v>100</v>
      </c>
      <c r="G1987" s="1182" t="s">
        <v>1085</v>
      </c>
      <c r="H1987" s="1143" t="s">
        <v>1382</v>
      </c>
      <c r="I1987" s="1182">
        <f>SUM(I1985:I1986)</f>
        <v>40748.824239299996</v>
      </c>
      <c r="J1987" s="1128"/>
      <c r="K1987" s="1128"/>
      <c r="L1987" s="1128"/>
    </row>
    <row r="1988" spans="2:12" x14ac:dyDescent="0.2">
      <c r="B1988" s="1191"/>
      <c r="C1988" s="1140"/>
      <c r="D1988" s="1183" t="s">
        <v>1403</v>
      </c>
      <c r="E1988" s="1352" t="s">
        <v>1085</v>
      </c>
      <c r="F1988" s="1178" t="s">
        <v>1602</v>
      </c>
      <c r="G1988" s="1128"/>
      <c r="H1988" s="1143" t="s">
        <v>1022</v>
      </c>
      <c r="I1988" s="1170">
        <f>ROUND(I1987/F1987,1)</f>
        <v>407.5</v>
      </c>
      <c r="J1988" s="1128"/>
      <c r="K1988" s="1128"/>
      <c r="L1988" s="1128"/>
    </row>
    <row r="1989" spans="2:12" x14ac:dyDescent="0.2">
      <c r="B1989" s="1191"/>
      <c r="C1989" s="1140"/>
      <c r="D1989" s="1132"/>
      <c r="E1989" s="1129"/>
      <c r="F1989" s="1178"/>
      <c r="G1989" s="1178"/>
      <c r="H1989" s="1273"/>
      <c r="I1989" s="1182"/>
      <c r="J1989" s="1128"/>
      <c r="K1989" s="1128"/>
      <c r="L1989" s="1128"/>
    </row>
    <row r="1990" spans="2:12" x14ac:dyDescent="0.2">
      <c r="B1990" s="1191"/>
      <c r="C1990" s="1140"/>
      <c r="D1990" s="1132"/>
      <c r="E1990" s="1129"/>
      <c r="F1990" s="1128"/>
      <c r="G1990" s="1128"/>
      <c r="H1990" s="1128"/>
      <c r="I1990" s="1128"/>
      <c r="J1990" s="1128"/>
      <c r="K1990" s="1128"/>
      <c r="L1990" s="1128"/>
    </row>
    <row r="1991" spans="2:12" ht="23.25" x14ac:dyDescent="0.2">
      <c r="B1991" s="2041" t="s">
        <v>1633</v>
      </c>
      <c r="C1991" s="1127" t="s">
        <v>1634</v>
      </c>
      <c r="D1991" s="1178" t="s">
        <v>1635</v>
      </c>
      <c r="E1991" s="1129"/>
      <c r="F1991" s="1128"/>
      <c r="G1991" s="1128"/>
      <c r="H1991" s="1128"/>
      <c r="I1991" s="1128"/>
      <c r="J1991" s="1128"/>
      <c r="K1991" s="1128"/>
      <c r="L1991" s="1128"/>
    </row>
    <row r="1992" spans="2:12" x14ac:dyDescent="0.2">
      <c r="B1992" s="2042"/>
      <c r="C1992" s="1131"/>
      <c r="D1992" s="1128" t="s">
        <v>1636</v>
      </c>
      <c r="E1992" s="1129"/>
      <c r="F1992" s="1128"/>
      <c r="G1992" s="1128"/>
      <c r="H1992" s="1128"/>
      <c r="I1992" s="1128"/>
      <c r="J1992" s="1128"/>
      <c r="K1992" s="1128"/>
      <c r="L1992" s="1128"/>
    </row>
    <row r="1993" spans="2:12" x14ac:dyDescent="0.2">
      <c r="B1993" s="2042"/>
      <c r="C1993" s="1131"/>
      <c r="D1993" s="1128" t="s">
        <v>1637</v>
      </c>
      <c r="E1993" s="1129"/>
      <c r="F1993" s="1128"/>
      <c r="G1993" s="1128"/>
      <c r="H1993" s="1128"/>
      <c r="I1993" s="1128"/>
      <c r="J1993" s="1128"/>
      <c r="K1993" s="1128"/>
      <c r="L1993" s="1128"/>
    </row>
    <row r="1994" spans="2:12" x14ac:dyDescent="0.2">
      <c r="B1994" s="2043"/>
      <c r="C1994" s="1131" t="s">
        <v>1328</v>
      </c>
      <c r="D1994" s="1128"/>
      <c r="E1994" s="1129"/>
      <c r="F1994" s="1128"/>
      <c r="G1994" s="1128"/>
      <c r="H1994" s="1128"/>
      <c r="I1994" s="1128"/>
      <c r="J1994" s="1128"/>
      <c r="K1994" s="1128"/>
      <c r="L1994" s="1128"/>
    </row>
    <row r="1995" spans="2:12" x14ac:dyDescent="0.2">
      <c r="B1995" s="1191"/>
      <c r="C1995" s="1131" t="s">
        <v>1328</v>
      </c>
      <c r="D1995" s="1128" t="s">
        <v>1638</v>
      </c>
      <c r="E1995" s="1129"/>
      <c r="F1995" s="1128"/>
      <c r="G1995" s="1128" t="s">
        <v>1639</v>
      </c>
      <c r="H1995" s="1128"/>
      <c r="I1995" s="1128"/>
      <c r="J1995" s="1128"/>
      <c r="K1995" s="1128"/>
      <c r="L1995" s="1128"/>
    </row>
    <row r="1996" spans="2:12" x14ac:dyDescent="0.2">
      <c r="B1996" s="1191"/>
      <c r="C1996" s="1130"/>
      <c r="D1996" s="1128" t="s">
        <v>1611</v>
      </c>
      <c r="E1996" s="1129"/>
      <c r="F1996" s="1128"/>
      <c r="G1996" s="1128"/>
      <c r="H1996" s="1132" t="s">
        <v>1330</v>
      </c>
      <c r="I1996" s="1134">
        <v>0.5</v>
      </c>
      <c r="J1996" s="1128" t="s">
        <v>1331</v>
      </c>
      <c r="K1996" s="1128"/>
      <c r="L1996" s="1128"/>
    </row>
    <row r="1997" spans="2:12" x14ac:dyDescent="0.2">
      <c r="B1997" s="1191"/>
      <c r="C1997" s="1130"/>
      <c r="D1997" s="1128" t="s">
        <v>971</v>
      </c>
      <c r="E1997" s="1129"/>
      <c r="F1997" s="1128"/>
      <c r="G1997" s="1128"/>
      <c r="H1997" s="1132" t="s">
        <v>1330</v>
      </c>
      <c r="I1997" s="1128">
        <v>240</v>
      </c>
      <c r="J1997" s="1128" t="s">
        <v>1027</v>
      </c>
      <c r="K1997" s="1128"/>
      <c r="L1997" s="1128"/>
    </row>
    <row r="1998" spans="2:12" x14ac:dyDescent="0.2">
      <c r="B1998" s="1191"/>
      <c r="C1998" s="1130"/>
      <c r="D1998" s="1128" t="s">
        <v>1613</v>
      </c>
      <c r="E1998" s="1129"/>
      <c r="F1998" s="1128"/>
      <c r="G1998" s="1128"/>
      <c r="H1998" s="1132" t="s">
        <v>1330</v>
      </c>
      <c r="I1998" s="1134">
        <v>0.5</v>
      </c>
      <c r="J1998" s="1128" t="s">
        <v>1331</v>
      </c>
      <c r="K1998" s="1128"/>
      <c r="L1998" s="1128"/>
    </row>
    <row r="1999" spans="2:12" x14ac:dyDescent="0.2">
      <c r="B1999" s="1191"/>
      <c r="C1999" s="1130"/>
      <c r="D1999" s="1128" t="s">
        <v>1614</v>
      </c>
      <c r="E1999" s="1129"/>
      <c r="F1999" s="1128"/>
      <c r="G1999" s="1128"/>
      <c r="H1999" s="1132"/>
      <c r="I1999" s="1128"/>
      <c r="J1999" s="1128"/>
      <c r="K1999" s="1128"/>
      <c r="L1999" s="1128"/>
    </row>
    <row r="2000" spans="2:12" x14ac:dyDescent="0.2">
      <c r="B2000" s="1191"/>
      <c r="C2000" s="1130"/>
      <c r="D2000" s="1128" t="s">
        <v>1640</v>
      </c>
      <c r="E2000" s="1129"/>
      <c r="F2000" s="1128"/>
      <c r="G2000" s="1128"/>
      <c r="H2000" s="1132" t="s">
        <v>1330</v>
      </c>
      <c r="I2000" s="1128">
        <v>4</v>
      </c>
      <c r="J2000" s="1128" t="s">
        <v>1577</v>
      </c>
      <c r="K2000" s="1128"/>
      <c r="L2000" s="1128"/>
    </row>
    <row r="2001" spans="2:12" x14ac:dyDescent="0.2">
      <c r="B2001" s="1191"/>
      <c r="C2001" s="1130"/>
      <c r="D2001" s="1128" t="s">
        <v>1641</v>
      </c>
      <c r="E2001" s="1129"/>
      <c r="F2001" s="1128"/>
      <c r="G2001" s="1128"/>
      <c r="H2001" s="1132" t="s">
        <v>1330</v>
      </c>
      <c r="I2001" s="1128">
        <v>4</v>
      </c>
      <c r="J2001" s="1128" t="s">
        <v>1577</v>
      </c>
      <c r="K2001" s="1128"/>
      <c r="L2001" s="1128"/>
    </row>
    <row r="2002" spans="2:12" x14ac:dyDescent="0.2">
      <c r="B2002" s="1191"/>
      <c r="C2002" s="1130"/>
      <c r="D2002" s="1128" t="s">
        <v>1642</v>
      </c>
      <c r="E2002" s="1129"/>
      <c r="F2002" s="1128"/>
      <c r="G2002" s="1128"/>
      <c r="H2002" s="1132" t="s">
        <v>1330</v>
      </c>
      <c r="I2002" s="1128">
        <v>3</v>
      </c>
      <c r="J2002" s="1128" t="s">
        <v>1577</v>
      </c>
      <c r="K2002" s="1128"/>
      <c r="L2002" s="1128"/>
    </row>
    <row r="2003" spans="2:12" x14ac:dyDescent="0.2">
      <c r="B2003" s="1191"/>
      <c r="C2003" s="1130"/>
      <c r="D2003" s="1128" t="s">
        <v>1619</v>
      </c>
      <c r="E2003" s="1129"/>
      <c r="F2003" s="1128"/>
      <c r="G2003" s="1128"/>
      <c r="H2003" s="1132" t="s">
        <v>1330</v>
      </c>
      <c r="I2003" s="1128">
        <v>1</v>
      </c>
      <c r="J2003" s="1128" t="s">
        <v>1620</v>
      </c>
      <c r="K2003" s="1128"/>
      <c r="L2003" s="1128"/>
    </row>
    <row r="2004" spans="2:12" x14ac:dyDescent="0.2">
      <c r="B2004" s="1191"/>
      <c r="C2004" s="1130"/>
      <c r="D2004" s="1128" t="s">
        <v>1621</v>
      </c>
      <c r="E2004" s="1129"/>
      <c r="F2004" s="1128"/>
      <c r="G2004" s="1128"/>
      <c r="H2004" s="1132" t="s">
        <v>1330</v>
      </c>
      <c r="I2004" s="1128">
        <v>1</v>
      </c>
      <c r="J2004" s="1128" t="s">
        <v>1620</v>
      </c>
      <c r="K2004" s="1128"/>
      <c r="L2004" s="1128"/>
    </row>
    <row r="2005" spans="2:12" x14ac:dyDescent="0.2">
      <c r="B2005" s="1191"/>
      <c r="C2005" s="1130"/>
      <c r="D2005" s="1128" t="s">
        <v>1622</v>
      </c>
      <c r="E2005" s="1129"/>
      <c r="F2005" s="1128"/>
      <c r="G2005" s="1128"/>
      <c r="H2005" s="1132" t="s">
        <v>1330</v>
      </c>
      <c r="I2005" s="1128">
        <v>1</v>
      </c>
      <c r="J2005" s="1128" t="s">
        <v>1620</v>
      </c>
      <c r="K2005" s="1128"/>
      <c r="L2005" s="1128"/>
    </row>
    <row r="2006" spans="2:12" x14ac:dyDescent="0.2">
      <c r="B2006" s="1191"/>
      <c r="C2006" s="1140"/>
      <c r="D2006" s="1132"/>
      <c r="E2006" s="1129"/>
      <c r="F2006" s="1128"/>
      <c r="G2006" s="1128"/>
      <c r="H2006" s="1128"/>
      <c r="I2006" s="1128"/>
      <c r="J2006" s="1128"/>
      <c r="K2006" s="1128"/>
      <c r="L2006" s="1128"/>
    </row>
    <row r="2007" spans="2:12" x14ac:dyDescent="0.2">
      <c r="B2007" s="1191"/>
      <c r="C2007" s="1140"/>
      <c r="D2007" s="1132"/>
      <c r="E2007" s="1334" t="s">
        <v>1373</v>
      </c>
      <c r="F2007" s="1128"/>
      <c r="G2007" s="1143" t="s">
        <v>1374</v>
      </c>
      <c r="H2007" s="1144">
        <v>100</v>
      </c>
      <c r="I2007" s="1128" t="s">
        <v>1085</v>
      </c>
      <c r="J2007" s="1128"/>
      <c r="K2007" s="1128"/>
      <c r="L2007" s="1128"/>
    </row>
    <row r="2008" spans="2:12" x14ac:dyDescent="0.2">
      <c r="B2008" s="1191"/>
      <c r="C2008" s="1140"/>
      <c r="D2008" s="1183" t="s">
        <v>1375</v>
      </c>
      <c r="E2008" s="1129"/>
      <c r="F2008" s="1128"/>
      <c r="G2008" s="1128"/>
      <c r="H2008" s="1128"/>
      <c r="I2008" s="1128"/>
      <c r="J2008" s="1128"/>
      <c r="K2008" s="1128"/>
      <c r="L2008" s="1128"/>
    </row>
    <row r="2009" spans="2:12" x14ac:dyDescent="0.2">
      <c r="B2009" s="1191"/>
      <c r="C2009" s="1140"/>
      <c r="D2009" s="1146" t="s">
        <v>1376</v>
      </c>
      <c r="E2009" s="1147" t="s">
        <v>1377</v>
      </c>
      <c r="F2009" s="1146" t="s">
        <v>1378</v>
      </c>
      <c r="G2009" s="1146" t="s">
        <v>139</v>
      </c>
      <c r="H2009" s="1146" t="s">
        <v>140</v>
      </c>
      <c r="I2009" s="1146" t="s">
        <v>141</v>
      </c>
      <c r="J2009" s="1128"/>
      <c r="K2009" s="1128"/>
      <c r="L2009" s="1128"/>
    </row>
    <row r="2010" spans="2:12" x14ac:dyDescent="0.2">
      <c r="B2010" s="1191"/>
      <c r="C2010" s="1140"/>
      <c r="D2010" s="1148"/>
      <c r="E2010" s="1149"/>
      <c r="F2010" s="1148"/>
      <c r="G2010" s="1148"/>
      <c r="H2010" s="1148" t="s">
        <v>1379</v>
      </c>
      <c r="I2010" s="1148" t="s">
        <v>1379</v>
      </c>
      <c r="J2010" s="1128"/>
      <c r="K2010" s="1128"/>
      <c r="L2010" s="1128"/>
    </row>
    <row r="2011" spans="2:12" x14ac:dyDescent="0.2">
      <c r="B2011" s="1191"/>
      <c r="C2011" s="1140"/>
      <c r="D2011" s="1146">
        <v>1</v>
      </c>
      <c r="E2011" s="1171" t="s">
        <v>1624</v>
      </c>
      <c r="F2011" s="1146" t="s">
        <v>1027</v>
      </c>
      <c r="G2011" s="1266">
        <v>240</v>
      </c>
      <c r="H2011" s="1355">
        <f>+Lead!K15/1000</f>
        <v>6.4</v>
      </c>
      <c r="I2011" s="1354">
        <f>G2011*H2011</f>
        <v>1536</v>
      </c>
      <c r="J2011" s="1128"/>
      <c r="K2011" s="1128"/>
      <c r="L2011" s="1128"/>
    </row>
    <row r="2012" spans="2:12" x14ac:dyDescent="0.2">
      <c r="B2012" s="1191"/>
      <c r="C2012" s="1140"/>
      <c r="D2012" s="1148">
        <v>2</v>
      </c>
      <c r="E2012" s="1175" t="s">
        <v>1643</v>
      </c>
      <c r="F2012" s="1148" t="s">
        <v>1012</v>
      </c>
      <c r="G2012" s="1266">
        <v>0.5</v>
      </c>
      <c r="H2012" s="1340">
        <f>Lead!K12</f>
        <v>1077.7366188443427</v>
      </c>
      <c r="I2012" s="1354">
        <f>G2012*H2012</f>
        <v>538.86830942217136</v>
      </c>
      <c r="J2012" s="1128"/>
      <c r="K2012" s="1128"/>
      <c r="L2012" s="1128"/>
    </row>
    <row r="2013" spans="2:12" ht="38.25" x14ac:dyDescent="0.2">
      <c r="B2013" s="1191"/>
      <c r="C2013" s="1140"/>
      <c r="D2013" s="1337"/>
      <c r="E2013" s="1356" t="s">
        <v>1627</v>
      </c>
      <c r="F2013" s="1338"/>
      <c r="G2013" s="1266"/>
      <c r="H2013" s="1160" t="s">
        <v>1382</v>
      </c>
      <c r="I2013" s="1354">
        <v>0</v>
      </c>
      <c r="J2013" s="1128"/>
      <c r="K2013" s="1128"/>
      <c r="L2013" s="1128"/>
    </row>
    <row r="2014" spans="2:12" x14ac:dyDescent="0.2">
      <c r="B2014" s="1191"/>
      <c r="C2014" s="1140"/>
      <c r="D2014" s="1156"/>
      <c r="E2014" s="1157" t="s">
        <v>1381</v>
      </c>
      <c r="F2014" s="1158"/>
      <c r="G2014" s="1159"/>
      <c r="H2014" s="1160" t="s">
        <v>1382</v>
      </c>
      <c r="I2014" s="1170">
        <f>SUM(I2011:I2013)</f>
        <v>2074.8683094221715</v>
      </c>
      <c r="J2014" s="1128"/>
      <c r="K2014" s="1128"/>
      <c r="L2014" s="1128"/>
    </row>
    <row r="2015" spans="2:12" x14ac:dyDescent="0.2">
      <c r="B2015" s="1191"/>
      <c r="C2015" s="1140"/>
      <c r="D2015" s="1132"/>
      <c r="E2015" s="1129"/>
      <c r="F2015" s="1128"/>
      <c r="G2015" s="1128"/>
      <c r="H2015" s="1128"/>
      <c r="I2015" s="1128"/>
      <c r="J2015" s="1128"/>
      <c r="K2015" s="1128"/>
      <c r="L2015" s="1128"/>
    </row>
    <row r="2016" spans="2:12" x14ac:dyDescent="0.2">
      <c r="B2016" s="1191"/>
      <c r="C2016" s="1140"/>
      <c r="D2016" s="1183" t="s">
        <v>1383</v>
      </c>
      <c r="E2016" s="1129"/>
      <c r="F2016" s="1128"/>
      <c r="G2016" s="1128"/>
      <c r="H2016" s="1128"/>
      <c r="I2016" s="1128"/>
      <c r="J2016" s="1128"/>
      <c r="K2016" s="1128"/>
      <c r="L2016" s="1128"/>
    </row>
    <row r="2017" spans="2:12" x14ac:dyDescent="0.2">
      <c r="B2017" s="1191"/>
      <c r="C2017" s="1140"/>
      <c r="D2017" s="1146" t="s">
        <v>1376</v>
      </c>
      <c r="E2017" s="1147" t="s">
        <v>284</v>
      </c>
      <c r="F2017" s="1146" t="s">
        <v>1378</v>
      </c>
      <c r="G2017" s="1146" t="s">
        <v>139</v>
      </c>
      <c r="H2017" s="1146" t="s">
        <v>140</v>
      </c>
      <c r="I2017" s="1146" t="s">
        <v>141</v>
      </c>
      <c r="J2017" s="1128"/>
      <c r="K2017" s="1128"/>
      <c r="L2017" s="1128"/>
    </row>
    <row r="2018" spans="2:12" x14ac:dyDescent="0.2">
      <c r="B2018" s="1191"/>
      <c r="C2018" s="1140"/>
      <c r="D2018" s="1148"/>
      <c r="E2018" s="1149"/>
      <c r="F2018" s="1148"/>
      <c r="G2018" s="1148"/>
      <c r="H2018" s="1148" t="s">
        <v>1379</v>
      </c>
      <c r="I2018" s="1148" t="s">
        <v>1379</v>
      </c>
      <c r="J2018" s="1128"/>
      <c r="K2018" s="1128"/>
      <c r="L2018" s="1128"/>
    </row>
    <row r="2019" spans="2:12" x14ac:dyDescent="0.2">
      <c r="B2019" s="1191"/>
      <c r="C2019" s="1140"/>
      <c r="D2019" s="1146">
        <v>1</v>
      </c>
      <c r="E2019" s="1171" t="s">
        <v>1628</v>
      </c>
      <c r="F2019" s="1146" t="s">
        <v>1213</v>
      </c>
      <c r="G2019" s="1266">
        <v>2</v>
      </c>
      <c r="H2019" s="1173">
        <f>H1962</f>
        <v>10.199999999999999</v>
      </c>
      <c r="I2019" s="1354">
        <f>G2019*H2019</f>
        <v>20.399999999999999</v>
      </c>
      <c r="J2019" s="1128"/>
      <c r="K2019" s="1128"/>
      <c r="L2019" s="1128"/>
    </row>
    <row r="2020" spans="2:12" x14ac:dyDescent="0.2">
      <c r="B2020" s="1191"/>
      <c r="C2020" s="1140"/>
      <c r="D2020" s="1336"/>
      <c r="E2020" s="1359" t="s">
        <v>1385</v>
      </c>
      <c r="F2020" s="1148" t="s">
        <v>1213</v>
      </c>
      <c r="G2020" s="1266">
        <v>2</v>
      </c>
      <c r="H2020" s="1173">
        <f>H1963</f>
        <v>78.400000000000006</v>
      </c>
      <c r="I2020" s="1354">
        <f>G2020*H2020</f>
        <v>156.80000000000001</v>
      </c>
      <c r="J2020" s="1128"/>
      <c r="K2020" s="1128"/>
      <c r="L2020" s="1128"/>
    </row>
    <row r="2021" spans="2:12" ht="25.5" x14ac:dyDescent="0.2">
      <c r="B2021" s="1191"/>
      <c r="C2021" s="1140"/>
      <c r="D2021" s="1166"/>
      <c r="E2021" s="1167" t="s">
        <v>1387</v>
      </c>
      <c r="F2021" s="1168"/>
      <c r="G2021" s="1169"/>
      <c r="H2021" s="1160" t="s">
        <v>1382</v>
      </c>
      <c r="I2021" s="1161">
        <f>SUM(I2019:I2020)</f>
        <v>177.20000000000002</v>
      </c>
      <c r="J2021" s="1128"/>
      <c r="K2021" s="1128"/>
      <c r="L2021" s="1128"/>
    </row>
    <row r="2022" spans="2:12" x14ac:dyDescent="0.2">
      <c r="B2022" s="1191"/>
      <c r="C2022" s="1140"/>
      <c r="D2022" s="1132"/>
      <c r="E2022" s="1129"/>
      <c r="F2022" s="1128"/>
      <c r="G2022" s="1128"/>
      <c r="H2022" s="1128"/>
      <c r="I2022" s="1128"/>
      <c r="J2022" s="1128"/>
      <c r="K2022" s="1128"/>
      <c r="L2022" s="1128"/>
    </row>
    <row r="2023" spans="2:12" x14ac:dyDescent="0.2">
      <c r="B2023" s="1191"/>
      <c r="C2023" s="1140"/>
      <c r="D2023" s="1183" t="s">
        <v>1388</v>
      </c>
      <c r="E2023" s="1129"/>
      <c r="F2023" s="1128"/>
      <c r="G2023" s="1128"/>
      <c r="H2023" s="1128"/>
      <c r="I2023" s="1128"/>
      <c r="J2023" s="1128"/>
      <c r="K2023" s="1128"/>
      <c r="L2023" s="1128"/>
    </row>
    <row r="2024" spans="2:12" x14ac:dyDescent="0.2">
      <c r="B2024" s="1191"/>
      <c r="C2024" s="1140"/>
      <c r="D2024" s="1146" t="s">
        <v>1376</v>
      </c>
      <c r="E2024" s="1147" t="s">
        <v>284</v>
      </c>
      <c r="F2024" s="1146" t="s">
        <v>1378</v>
      </c>
      <c r="G2024" s="1146" t="s">
        <v>139</v>
      </c>
      <c r="H2024" s="1146" t="s">
        <v>140</v>
      </c>
      <c r="I2024" s="1146" t="s">
        <v>141</v>
      </c>
      <c r="J2024" s="1128"/>
      <c r="K2024" s="1128"/>
      <c r="L2024" s="1128"/>
    </row>
    <row r="2025" spans="2:12" x14ac:dyDescent="0.2">
      <c r="B2025" s="1191"/>
      <c r="C2025" s="1140"/>
      <c r="D2025" s="1148"/>
      <c r="E2025" s="1149"/>
      <c r="F2025" s="1155"/>
      <c r="G2025" s="1148"/>
      <c r="H2025" s="1148" t="s">
        <v>1379</v>
      </c>
      <c r="I2025" s="1148" t="s">
        <v>1379</v>
      </c>
      <c r="J2025" s="1128"/>
      <c r="K2025" s="1128"/>
      <c r="L2025" s="1128"/>
    </row>
    <row r="2026" spans="2:12" x14ac:dyDescent="0.2">
      <c r="B2026" s="1191"/>
      <c r="C2026" s="1140"/>
      <c r="D2026" s="1155">
        <v>1</v>
      </c>
      <c r="E2026" s="1171" t="s">
        <v>1629</v>
      </c>
      <c r="F2026" s="1146" t="s">
        <v>1213</v>
      </c>
      <c r="G2026" s="1172">
        <v>2</v>
      </c>
      <c r="H2026" s="1173">
        <f>H1969</f>
        <v>104.8</v>
      </c>
      <c r="I2026" s="1354">
        <f>G2026*H2026</f>
        <v>209.6</v>
      </c>
      <c r="J2026" s="1128"/>
      <c r="K2026" s="1128"/>
      <c r="L2026" s="1128"/>
    </row>
    <row r="2027" spans="2:12" x14ac:dyDescent="0.2">
      <c r="B2027" s="1191"/>
      <c r="C2027" s="1140"/>
      <c r="D2027" s="1155">
        <v>2</v>
      </c>
      <c r="E2027" s="1171" t="s">
        <v>1391</v>
      </c>
      <c r="F2027" s="1155" t="s">
        <v>1392</v>
      </c>
      <c r="G2027" s="1172">
        <v>1</v>
      </c>
      <c r="H2027" s="1173">
        <f>H1970</f>
        <v>400</v>
      </c>
      <c r="I2027" s="1354">
        <f>G2027*H2027</f>
        <v>400</v>
      </c>
      <c r="J2027" s="1128"/>
      <c r="K2027" s="1128"/>
      <c r="L2027" s="1128"/>
    </row>
    <row r="2028" spans="2:12" x14ac:dyDescent="0.2">
      <c r="B2028" s="1191"/>
      <c r="C2028" s="1140"/>
      <c r="D2028" s="1155">
        <v>3</v>
      </c>
      <c r="E2028" s="1171" t="s">
        <v>1630</v>
      </c>
      <c r="F2028" s="1155" t="s">
        <v>1392</v>
      </c>
      <c r="G2028" s="1172">
        <v>4</v>
      </c>
      <c r="H2028" s="1173">
        <f>H1971</f>
        <v>420</v>
      </c>
      <c r="I2028" s="1354">
        <f>G2028*H2028</f>
        <v>1680</v>
      </c>
      <c r="J2028" s="1128"/>
      <c r="K2028" s="1128"/>
      <c r="L2028" s="1128"/>
    </row>
    <row r="2029" spans="2:12" x14ac:dyDescent="0.2">
      <c r="B2029" s="1191"/>
      <c r="C2029" s="1140"/>
      <c r="D2029" s="1155">
        <v>4</v>
      </c>
      <c r="E2029" s="1171" t="s">
        <v>1393</v>
      </c>
      <c r="F2029" s="1155" t="s">
        <v>1392</v>
      </c>
      <c r="G2029" s="1172">
        <v>9</v>
      </c>
      <c r="H2029" s="1348">
        <f>H1973</f>
        <v>320</v>
      </c>
      <c r="I2029" s="1354">
        <f>G2029*H2029</f>
        <v>2880</v>
      </c>
      <c r="J2029" s="1128"/>
      <c r="K2029" s="1128"/>
      <c r="L2029" s="1128"/>
    </row>
    <row r="2030" spans="2:12" ht="25.5" x14ac:dyDescent="0.2">
      <c r="B2030" s="1191"/>
      <c r="C2030" s="1140"/>
      <c r="D2030" s="1155">
        <v>5</v>
      </c>
      <c r="E2030" s="1171" t="s">
        <v>1632</v>
      </c>
      <c r="F2030" s="1155" t="s">
        <v>1392</v>
      </c>
      <c r="G2030" s="1172">
        <v>1</v>
      </c>
      <c r="H2030" s="1173">
        <f>H1974</f>
        <v>440</v>
      </c>
      <c r="I2030" s="1354">
        <f>G2030*H2030</f>
        <v>440</v>
      </c>
      <c r="J2030" s="1128"/>
      <c r="K2030" s="1128"/>
      <c r="L2030" s="1128"/>
    </row>
    <row r="2031" spans="2:12" x14ac:dyDescent="0.2">
      <c r="B2031" s="1191"/>
      <c r="C2031" s="1140"/>
      <c r="D2031" s="1156"/>
      <c r="E2031" s="1157" t="s">
        <v>1394</v>
      </c>
      <c r="F2031" s="1158"/>
      <c r="G2031" s="1159"/>
      <c r="H2031" s="1160" t="s">
        <v>1382</v>
      </c>
      <c r="I2031" s="1170">
        <f>SUM(I2026:I2030)</f>
        <v>5609.6</v>
      </c>
      <c r="J2031" s="1128"/>
      <c r="K2031" s="1128"/>
      <c r="L2031" s="1128"/>
    </row>
    <row r="2032" spans="2:12" x14ac:dyDescent="0.2">
      <c r="B2032" s="1191"/>
      <c r="C2032" s="1140"/>
      <c r="D2032" s="1358" t="s">
        <v>1395</v>
      </c>
      <c r="E2032" s="1175"/>
      <c r="F2032" s="1174"/>
      <c r="G2032" s="1176">
        <f>I2031/H2007</f>
        <v>56.096000000000004</v>
      </c>
      <c r="H2032" s="1128"/>
      <c r="I2032" s="1128"/>
      <c r="J2032" s="1128"/>
      <c r="K2032" s="1128"/>
      <c r="L2032" s="1128"/>
    </row>
    <row r="2033" spans="2:12" x14ac:dyDescent="0.2">
      <c r="B2033" s="1191"/>
      <c r="C2033" s="1140"/>
      <c r="D2033" s="129" t="s">
        <v>2102</v>
      </c>
      <c r="E2033" s="1175"/>
      <c r="F2033" s="1940">
        <f>G2042</f>
        <v>0.13614999999999999</v>
      </c>
      <c r="G2033" s="1176">
        <f>G2032*F2033</f>
        <v>7.6374703999999998</v>
      </c>
      <c r="H2033" s="1128"/>
      <c r="I2033" s="1128"/>
      <c r="J2033" s="1128"/>
      <c r="K2033" s="1128"/>
      <c r="L2033" s="1128"/>
    </row>
    <row r="2034" spans="2:12" x14ac:dyDescent="0.2">
      <c r="B2034" s="1191"/>
      <c r="C2034" s="1140"/>
      <c r="D2034" s="1174" t="s">
        <v>2103</v>
      </c>
      <c r="E2034" s="1175"/>
      <c r="F2034" s="1174"/>
      <c r="G2034" s="1177">
        <f>SUM(G2032:G2033)</f>
        <v>63.733470400000002</v>
      </c>
      <c r="H2034" s="1128"/>
      <c r="I2034" s="1128"/>
      <c r="J2034" s="1128"/>
      <c r="K2034" s="1128"/>
      <c r="L2034" s="1128"/>
    </row>
    <row r="2035" spans="2:12" x14ac:dyDescent="0.2">
      <c r="B2035" s="1191"/>
      <c r="C2035" s="1140"/>
      <c r="D2035" s="1132"/>
      <c r="E2035" s="1129"/>
      <c r="F2035" s="1128"/>
      <c r="G2035" s="1128"/>
      <c r="H2035" s="1128"/>
      <c r="I2035" s="1128"/>
      <c r="J2035" s="1128"/>
      <c r="K2035" s="1128"/>
      <c r="L2035" s="1128"/>
    </row>
    <row r="2036" spans="2:12" x14ac:dyDescent="0.2">
      <c r="B2036" s="1191"/>
      <c r="C2036" s="1140"/>
      <c r="D2036" s="1178" t="s">
        <v>1396</v>
      </c>
      <c r="E2036" s="1129"/>
      <c r="F2036" s="1128"/>
      <c r="G2036" s="1128"/>
      <c r="H2036" s="1128"/>
      <c r="I2036" s="1128"/>
      <c r="J2036" s="1128"/>
      <c r="K2036" s="1128"/>
      <c r="L2036" s="1128"/>
    </row>
    <row r="2037" spans="2:12" x14ac:dyDescent="0.2">
      <c r="B2037" s="1191"/>
      <c r="C2037" s="1140"/>
      <c r="D2037" s="1128" t="s">
        <v>1397</v>
      </c>
      <c r="E2037" s="1129"/>
      <c r="F2037" s="1128"/>
      <c r="G2037" s="1128"/>
      <c r="H2037" s="1143" t="s">
        <v>1382</v>
      </c>
      <c r="I2037" s="1134">
        <f>I2014</f>
        <v>2074.8683094221715</v>
      </c>
      <c r="J2037" s="1128"/>
      <c r="K2037" s="1128"/>
      <c r="L2037" s="1128"/>
    </row>
    <row r="2038" spans="2:12" x14ac:dyDescent="0.2">
      <c r="B2038" s="1191"/>
      <c r="C2038" s="1140"/>
      <c r="D2038" s="1128" t="s">
        <v>1398</v>
      </c>
      <c r="E2038" s="1129"/>
      <c r="F2038" s="1128"/>
      <c r="G2038" s="1128"/>
      <c r="H2038" s="1143" t="s">
        <v>1382</v>
      </c>
      <c r="I2038" s="1134">
        <f>I2021</f>
        <v>177.20000000000002</v>
      </c>
      <c r="J2038" s="1128"/>
      <c r="K2038" s="1128"/>
      <c r="L2038" s="1128"/>
    </row>
    <row r="2039" spans="2:12" x14ac:dyDescent="0.2">
      <c r="B2039" s="1191"/>
      <c r="C2039" s="1140"/>
      <c r="D2039" s="1128" t="s">
        <v>1399</v>
      </c>
      <c r="E2039" s="1129"/>
      <c r="F2039" s="1128"/>
      <c r="G2039" s="1128"/>
      <c r="H2039" s="1143" t="s">
        <v>1382</v>
      </c>
      <c r="I2039" s="1179">
        <f>I2031</f>
        <v>5609.6</v>
      </c>
      <c r="J2039" s="1128" t="s">
        <v>1400</v>
      </c>
      <c r="K2039" s="1128"/>
      <c r="L2039" s="1128"/>
    </row>
    <row r="2040" spans="2:12" x14ac:dyDescent="0.2">
      <c r="B2040" s="1191"/>
      <c r="C2040" s="1140"/>
      <c r="D2040" s="1128"/>
      <c r="E2040" s="129" t="str">
        <f>+IF($I$4=0%,"---","Municipal allowance")</f>
        <v>Municipal allowance</v>
      </c>
      <c r="F2040" s="928">
        <f>$I$4</f>
        <v>0.2</v>
      </c>
      <c r="G2040" s="1128"/>
      <c r="H2040" s="1143"/>
      <c r="I2040" s="1179">
        <f>I2039*F2040</f>
        <v>1121.92</v>
      </c>
      <c r="J2040" s="1128"/>
      <c r="K2040" s="1128"/>
      <c r="L2040" s="1128"/>
    </row>
    <row r="2041" spans="2:12" x14ac:dyDescent="0.2">
      <c r="B2041" s="1191"/>
      <c r="C2041" s="1140"/>
      <c r="D2041" s="1132"/>
      <c r="E2041" s="1129"/>
      <c r="F2041" s="1128"/>
      <c r="G2041" s="1128"/>
      <c r="H2041" s="1143" t="s">
        <v>1457</v>
      </c>
      <c r="I2041" s="1181">
        <f>SUM(I2037:I2039)</f>
        <v>7861.6683094221717</v>
      </c>
      <c r="J2041" s="1128"/>
      <c r="K2041" s="1128"/>
      <c r="L2041" s="1128"/>
    </row>
    <row r="2042" spans="2:12" x14ac:dyDescent="0.2">
      <c r="B2042" s="1191"/>
      <c r="C2042" s="1140"/>
      <c r="D2042" s="2040" t="s">
        <v>2105</v>
      </c>
      <c r="E2042" s="2040"/>
      <c r="F2042" s="2040"/>
      <c r="G2042" s="1940">
        <f>+$I$5</f>
        <v>0.13614999999999999</v>
      </c>
      <c r="H2042" s="1143" t="s">
        <v>1382</v>
      </c>
      <c r="I2042" s="1174">
        <f>I2041*G2042</f>
        <v>1070.3661403278286</v>
      </c>
      <c r="J2042" s="1128"/>
      <c r="K2042" s="1128"/>
      <c r="L2042" s="1128"/>
    </row>
    <row r="2043" spans="2:12" x14ac:dyDescent="0.2">
      <c r="B2043" s="1191"/>
      <c r="C2043" s="1140"/>
      <c r="D2043" s="1128" t="s">
        <v>1402</v>
      </c>
      <c r="E2043" s="1129"/>
      <c r="F2043" s="1182">
        <f>H2007</f>
        <v>100</v>
      </c>
      <c r="G2043" s="1182" t="s">
        <v>1085</v>
      </c>
      <c r="H2043" s="1143" t="s">
        <v>1382</v>
      </c>
      <c r="I2043" s="1182">
        <f>SUM(I2041:I2042)</f>
        <v>8932.0344497500009</v>
      </c>
      <c r="J2043" s="1128"/>
      <c r="K2043" s="1128"/>
      <c r="L2043" s="1128"/>
    </row>
    <row r="2044" spans="2:12" x14ac:dyDescent="0.2">
      <c r="B2044" s="1191"/>
      <c r="C2044" s="1140"/>
      <c r="D2044" s="1183" t="s">
        <v>1403</v>
      </c>
      <c r="E2044" s="1352" t="s">
        <v>1085</v>
      </c>
      <c r="F2044" s="1178" t="s">
        <v>1602</v>
      </c>
      <c r="G2044" s="1128"/>
      <c r="H2044" s="1143" t="s">
        <v>1022</v>
      </c>
      <c r="I2044" s="1170">
        <f>ROUND(I2043/F2043,1)</f>
        <v>89.3</v>
      </c>
      <c r="J2044" s="1128"/>
      <c r="K2044" s="1128"/>
      <c r="L2044" s="1128"/>
    </row>
    <row r="2045" spans="2:12" x14ac:dyDescent="0.2">
      <c r="B2045" s="1191"/>
      <c r="C2045" s="1140"/>
      <c r="D2045" s="1183"/>
      <c r="E2045" s="1352"/>
      <c r="F2045" s="1178"/>
      <c r="G2045" s="1128"/>
      <c r="H2045" s="1143"/>
      <c r="I2045" s="1182"/>
      <c r="J2045" s="1128"/>
      <c r="K2045" s="1128"/>
      <c r="L2045" s="1128"/>
    </row>
    <row r="2046" spans="2:12" x14ac:dyDescent="0.2">
      <c r="B2046" s="1191"/>
      <c r="C2046" s="129" t="s">
        <v>2087</v>
      </c>
      <c r="J2046" s="1128"/>
      <c r="K2046" s="1128"/>
      <c r="L2046" s="1128"/>
    </row>
    <row r="2047" spans="2:12" x14ac:dyDescent="0.2">
      <c r="B2047" s="1191"/>
      <c r="C2047" s="129" t="s">
        <v>1644</v>
      </c>
      <c r="J2047" s="1128"/>
      <c r="K2047" s="1128"/>
      <c r="L2047" s="1128"/>
    </row>
    <row r="2048" spans="2:12" ht="14.25" x14ac:dyDescent="0.2">
      <c r="B2048" s="1191"/>
      <c r="C2048" s="942">
        <v>0.9</v>
      </c>
      <c r="D2048" s="942" t="s">
        <v>1012</v>
      </c>
      <c r="E2048" s="129" t="s">
        <v>1645</v>
      </c>
      <c r="F2048" s="552" t="s">
        <v>1022</v>
      </c>
      <c r="G2048" s="295">
        <f>Lead!K19</f>
        <v>1833.2582735554283</v>
      </c>
      <c r="H2048" s="942" t="s">
        <v>1012</v>
      </c>
      <c r="I2048" s="295">
        <f>C2048*G2048</f>
        <v>1649.9324461998856</v>
      </c>
      <c r="J2048" s="1128"/>
      <c r="K2048" s="1128"/>
      <c r="L2048" s="1128"/>
    </row>
    <row r="2049" spans="2:12" ht="14.25" x14ac:dyDescent="0.2">
      <c r="B2049" s="1191"/>
      <c r="C2049" s="942">
        <v>0.45</v>
      </c>
      <c r="D2049" s="942" t="s">
        <v>1012</v>
      </c>
      <c r="E2049" s="129" t="s">
        <v>1029</v>
      </c>
      <c r="F2049" s="552" t="s">
        <v>1022</v>
      </c>
      <c r="G2049" s="295">
        <f>Lead!K11</f>
        <v>1010.7366188443427</v>
      </c>
      <c r="H2049" s="942" t="s">
        <v>1012</v>
      </c>
      <c r="I2049" s="295">
        <f>C2049*G2049</f>
        <v>454.83147847995423</v>
      </c>
      <c r="J2049" s="1128"/>
      <c r="K2049" s="1128"/>
      <c r="L2049" s="1128"/>
    </row>
    <row r="2050" spans="2:12" ht="14.25" x14ac:dyDescent="0.2">
      <c r="B2050" s="1191"/>
      <c r="C2050" s="942">
        <v>400</v>
      </c>
      <c r="D2050" s="942" t="s">
        <v>1069</v>
      </c>
      <c r="E2050" s="129" t="s">
        <v>971</v>
      </c>
      <c r="F2050" s="552" t="s">
        <v>1022</v>
      </c>
      <c r="G2050" s="295">
        <f>Lead!K15</f>
        <v>6400</v>
      </c>
      <c r="H2050" s="942" t="s">
        <v>1069</v>
      </c>
      <c r="I2050" s="295">
        <f>C2050*G2050/1000</f>
        <v>2560</v>
      </c>
      <c r="J2050" s="1128"/>
      <c r="K2050" s="1128"/>
      <c r="L2050" s="1128"/>
    </row>
    <row r="2051" spans="2:12" ht="14.25" x14ac:dyDescent="0.2">
      <c r="B2051" s="1191"/>
      <c r="C2051" s="942">
        <v>0.13300000000000001</v>
      </c>
      <c r="D2051" s="942" t="s">
        <v>1035</v>
      </c>
      <c r="E2051" s="129" t="s">
        <v>1070</v>
      </c>
      <c r="F2051" s="552" t="s">
        <v>1022</v>
      </c>
      <c r="G2051" s="295">
        <f>SSR!$E$8</f>
        <v>420</v>
      </c>
      <c r="H2051" s="942" t="s">
        <v>1035</v>
      </c>
      <c r="I2051" s="295">
        <f t="shared" ref="I2051:I2057" si="57">C2051*G2051</f>
        <v>55.86</v>
      </c>
      <c r="J2051" s="1128"/>
      <c r="K2051" s="1128"/>
      <c r="L2051" s="1128"/>
    </row>
    <row r="2052" spans="2:12" ht="14.25" x14ac:dyDescent="0.2">
      <c r="B2052" s="1191"/>
      <c r="C2052" s="942">
        <v>0.26700000000000002</v>
      </c>
      <c r="D2052" s="942" t="s">
        <v>1035</v>
      </c>
      <c r="E2052" s="129" t="s">
        <v>1071</v>
      </c>
      <c r="F2052" s="552" t="s">
        <v>1022</v>
      </c>
      <c r="G2052" s="295">
        <f>SSR!$E$9</f>
        <v>375</v>
      </c>
      <c r="H2052" s="942" t="s">
        <v>1035</v>
      </c>
      <c r="I2052" s="295">
        <f t="shared" si="57"/>
        <v>100.125</v>
      </c>
      <c r="J2052" s="1128"/>
      <c r="K2052" s="1128"/>
      <c r="L2052" s="1128"/>
    </row>
    <row r="2053" spans="2:12" ht="14.25" x14ac:dyDescent="0.2">
      <c r="B2053" s="1191"/>
      <c r="C2053" s="942">
        <v>3.6</v>
      </c>
      <c r="D2053" s="942" t="s">
        <v>1035</v>
      </c>
      <c r="E2053" s="129" t="s">
        <v>1072</v>
      </c>
      <c r="F2053" s="552" t="s">
        <v>1022</v>
      </c>
      <c r="G2053" s="295">
        <f>SSR!$E$10</f>
        <v>320</v>
      </c>
      <c r="H2053" s="942" t="s">
        <v>1035</v>
      </c>
      <c r="I2053" s="295">
        <f t="shared" si="57"/>
        <v>1152</v>
      </c>
      <c r="J2053" s="1128"/>
      <c r="K2053" s="1128"/>
      <c r="L2053" s="1128"/>
    </row>
    <row r="2054" spans="2:12" ht="14.25" x14ac:dyDescent="0.2">
      <c r="B2054" s="1191"/>
      <c r="C2054" s="942">
        <v>1</v>
      </c>
      <c r="D2054" s="942" t="s">
        <v>1034</v>
      </c>
      <c r="E2054" s="129" t="s">
        <v>940</v>
      </c>
      <c r="F2054" s="552" t="s">
        <v>1022</v>
      </c>
      <c r="G2054" s="295">
        <f>SSR!$E$32</f>
        <v>338.6</v>
      </c>
      <c r="H2054" s="942" t="s">
        <v>1034</v>
      </c>
      <c r="I2054" s="295">
        <f t="shared" si="57"/>
        <v>338.6</v>
      </c>
      <c r="J2054" s="1128"/>
      <c r="K2054" s="1128"/>
      <c r="L2054" s="1128"/>
    </row>
    <row r="2055" spans="2:12" ht="14.25" x14ac:dyDescent="0.2">
      <c r="B2055" s="1191"/>
      <c r="C2055" s="942">
        <v>0.13300000000000001</v>
      </c>
      <c r="D2055" s="942" t="s">
        <v>1074</v>
      </c>
      <c r="E2055" s="129" t="s">
        <v>943</v>
      </c>
      <c r="F2055" s="552" t="s">
        <v>1022</v>
      </c>
      <c r="G2055" s="295">
        <f>SSR!$E$33</f>
        <v>57</v>
      </c>
      <c r="H2055" s="942" t="s">
        <v>1074</v>
      </c>
      <c r="I2055" s="295">
        <f t="shared" si="57"/>
        <v>7.5810000000000004</v>
      </c>
      <c r="J2055" s="1128"/>
      <c r="K2055" s="1128"/>
      <c r="L2055" s="1128"/>
    </row>
    <row r="2056" spans="2:12" ht="14.25" x14ac:dyDescent="0.2">
      <c r="B2056" s="1191"/>
      <c r="C2056" s="942">
        <v>0.66700000000000004</v>
      </c>
      <c r="D2056" s="942" t="s">
        <v>1074</v>
      </c>
      <c r="E2056" s="129" t="s">
        <v>1075</v>
      </c>
      <c r="G2056" s="295">
        <f>SSR!$E$34</f>
        <v>69</v>
      </c>
      <c r="H2056" s="942" t="s">
        <v>1074</v>
      </c>
      <c r="I2056" s="295">
        <f t="shared" si="57"/>
        <v>46.023000000000003</v>
      </c>
      <c r="J2056" s="1128"/>
      <c r="K2056" s="1128"/>
      <c r="L2056" s="1128"/>
    </row>
    <row r="2057" spans="2:12" ht="14.25" x14ac:dyDescent="0.2">
      <c r="B2057" s="1191"/>
      <c r="C2057" s="942">
        <v>1.2</v>
      </c>
      <c r="D2057" s="942" t="s">
        <v>1031</v>
      </c>
      <c r="E2057" s="129" t="s">
        <v>1032</v>
      </c>
      <c r="G2057" s="295">
        <f>SSR!E18</f>
        <v>77</v>
      </c>
      <c r="H2057" s="942" t="s">
        <v>1031</v>
      </c>
      <c r="I2057" s="295">
        <f t="shared" si="57"/>
        <v>92.399999999999991</v>
      </c>
      <c r="J2057" s="1128"/>
      <c r="K2057" s="1128"/>
      <c r="L2057" s="1128"/>
    </row>
    <row r="2058" spans="2:12" ht="14.25" x14ac:dyDescent="0.2">
      <c r="B2058" s="1191"/>
      <c r="C2058" s="942"/>
      <c r="D2058" s="942"/>
      <c r="E2058" s="129" t="str">
        <f>+IF($I$4=0%,"---","Municipal allowance")</f>
        <v>Municipal allowance</v>
      </c>
      <c r="G2058" s="928">
        <f>$I$4</f>
        <v>0.2</v>
      </c>
      <c r="H2058" s="942"/>
      <c r="I2058" s="295">
        <f>(I2051+I2052+I2053)*G2058</f>
        <v>261.59700000000004</v>
      </c>
      <c r="J2058" s="1128"/>
      <c r="K2058" s="1128"/>
      <c r="L2058" s="1128"/>
    </row>
    <row r="2059" spans="2:12" ht="14.25" x14ac:dyDescent="0.2">
      <c r="B2059" s="1191"/>
      <c r="C2059" s="942"/>
      <c r="D2059" s="942"/>
      <c r="E2059" s="129" t="s">
        <v>2102</v>
      </c>
      <c r="G2059" s="1940">
        <f>+$I$5</f>
        <v>0.13614999999999999</v>
      </c>
      <c r="H2059" s="942"/>
      <c r="I2059" s="149">
        <f>ROUND(SUM(I2048:I2058)*G2059,1)</f>
        <v>914.8</v>
      </c>
      <c r="J2059" s="1128"/>
      <c r="K2059" s="1128"/>
      <c r="L2059" s="1128"/>
    </row>
    <row r="2060" spans="2:12" x14ac:dyDescent="0.2">
      <c r="B2060" s="1191"/>
      <c r="C2060" s="295"/>
      <c r="F2060" s="952" t="s">
        <v>1076</v>
      </c>
      <c r="G2060" s="953"/>
      <c r="H2060" s="953"/>
      <c r="I2060" s="954">
        <f>ROUND(SUM(I2048:I2059),1)</f>
        <v>7633.7</v>
      </c>
      <c r="J2060" s="1128"/>
      <c r="K2060" s="1128"/>
      <c r="L2060" s="1128"/>
    </row>
    <row r="2061" spans="2:12" x14ac:dyDescent="0.2">
      <c r="B2061" s="1191"/>
      <c r="C2061" s="1140"/>
      <c r="D2061" s="1183"/>
      <c r="E2061" s="1352"/>
      <c r="F2061" s="1178"/>
      <c r="G2061" s="1128"/>
      <c r="H2061" s="1143"/>
      <c r="I2061" s="1182"/>
      <c r="J2061" s="1128"/>
      <c r="K2061" s="1128"/>
      <c r="L2061" s="1128"/>
    </row>
    <row r="2062" spans="2:12" x14ac:dyDescent="0.2">
      <c r="B2062" s="1191"/>
      <c r="C2062" s="1140"/>
      <c r="D2062" s="1183"/>
      <c r="E2062" s="1352"/>
      <c r="F2062" s="1178"/>
      <c r="G2062" s="1128"/>
      <c r="H2062" s="1143"/>
      <c r="I2062" s="1182"/>
      <c r="J2062" s="1128"/>
      <c r="K2062" s="1128"/>
      <c r="L2062" s="1128"/>
    </row>
    <row r="2063" spans="2:12" x14ac:dyDescent="0.2">
      <c r="B2063" s="2044" t="s">
        <v>1646</v>
      </c>
      <c r="C2063" s="2045"/>
      <c r="D2063" s="1927" t="s">
        <v>2086</v>
      </c>
      <c r="E2063" s="930"/>
      <c r="F2063" s="930"/>
      <c r="G2063" s="930"/>
      <c r="H2063" s="930"/>
      <c r="I2063" s="930"/>
    </row>
    <row r="2064" spans="2:12" x14ac:dyDescent="0.2">
      <c r="C2064" s="1192"/>
      <c r="D2064" s="930" t="s">
        <v>1647</v>
      </c>
      <c r="E2064" s="930"/>
      <c r="F2064" s="930"/>
      <c r="G2064" s="930"/>
      <c r="H2064" s="930"/>
      <c r="I2064" s="930"/>
    </row>
    <row r="2065" spans="2:12" x14ac:dyDescent="0.2">
      <c r="C2065" s="1192"/>
      <c r="D2065" s="1360" t="s">
        <v>1648</v>
      </c>
      <c r="E2065" s="930"/>
      <c r="F2065" s="930"/>
      <c r="G2065" s="930"/>
      <c r="H2065" s="930"/>
      <c r="I2065" s="930"/>
    </row>
    <row r="2066" spans="2:12" x14ac:dyDescent="0.2">
      <c r="C2066" s="1192"/>
      <c r="D2066" s="1360" t="s">
        <v>1649</v>
      </c>
      <c r="E2066" s="930"/>
      <c r="F2066" s="930"/>
      <c r="G2066" s="930"/>
      <c r="H2066" s="930"/>
      <c r="I2066" s="930"/>
    </row>
    <row r="2067" spans="2:12" x14ac:dyDescent="0.2">
      <c r="C2067" s="1192"/>
      <c r="D2067" s="1360" t="s">
        <v>1650</v>
      </c>
      <c r="E2067" s="930"/>
      <c r="F2067" s="930"/>
      <c r="G2067" s="930"/>
      <c r="H2067" s="930"/>
      <c r="I2067" s="930"/>
    </row>
    <row r="2068" spans="2:12" x14ac:dyDescent="0.2">
      <c r="C2068" s="1192"/>
      <c r="D2068" s="1360"/>
      <c r="E2068" s="930"/>
      <c r="F2068" s="930"/>
      <c r="G2068" s="930"/>
      <c r="H2068" s="930"/>
      <c r="I2068" s="930"/>
    </row>
    <row r="2069" spans="2:12" x14ac:dyDescent="0.2">
      <c r="C2069" s="1192"/>
      <c r="D2069" s="932">
        <v>0.5</v>
      </c>
      <c r="E2069" s="1360" t="s">
        <v>1651</v>
      </c>
      <c r="F2069" s="930"/>
      <c r="G2069" s="1361">
        <f>+I2060</f>
        <v>7633.7</v>
      </c>
      <c r="H2069" s="930" t="s">
        <v>1652</v>
      </c>
      <c r="I2069" s="930">
        <f>ROUND(D2069*G2069,1)</f>
        <v>3816.9</v>
      </c>
      <c r="J2069" s="1187"/>
      <c r="K2069" s="849" t="s">
        <v>1653</v>
      </c>
    </row>
    <row r="2070" spans="2:12" x14ac:dyDescent="0.2">
      <c r="D2070" s="1362">
        <v>5.2</v>
      </c>
      <c r="E2070" s="1363" t="s">
        <v>1654</v>
      </c>
      <c r="F2070" s="930"/>
      <c r="G2070" s="1364">
        <v>252</v>
      </c>
      <c r="H2070" s="930" t="s">
        <v>1027</v>
      </c>
      <c r="I2070" s="1365">
        <f>+G2070*D2070</f>
        <v>1310.4000000000001</v>
      </c>
      <c r="K2070" s="849" t="s">
        <v>1655</v>
      </c>
    </row>
    <row r="2071" spans="2:12" x14ac:dyDescent="0.2">
      <c r="C2071" s="1192"/>
      <c r="D2071" s="932">
        <v>10</v>
      </c>
      <c r="E2071" s="1360" t="s">
        <v>1656</v>
      </c>
      <c r="F2071" s="930"/>
      <c r="G2071" s="932">
        <f>I2044</f>
        <v>89.3</v>
      </c>
      <c r="H2071" s="930" t="s">
        <v>1087</v>
      </c>
      <c r="I2071" s="932">
        <f>D2071*G2071</f>
        <v>893</v>
      </c>
      <c r="J2071" s="1128" t="s">
        <v>1400</v>
      </c>
      <c r="K2071" s="849" t="s">
        <v>1657</v>
      </c>
    </row>
    <row r="2072" spans="2:12" x14ac:dyDescent="0.2">
      <c r="C2072" s="1192"/>
      <c r="D2072" s="932"/>
      <c r="E2072" s="129" t="str">
        <f>+IF($I$4=0%,"---","Municipal allowance")</f>
        <v>Municipal allowance</v>
      </c>
      <c r="F2072" s="928">
        <f>$I$4</f>
        <v>0.2</v>
      </c>
      <c r="G2072" s="1128"/>
      <c r="H2072" s="1143"/>
      <c r="I2072" s="1179">
        <f>I2071*F2072</f>
        <v>178.60000000000002</v>
      </c>
      <c r="J2072" s="1128"/>
      <c r="K2072" s="1366"/>
    </row>
    <row r="2073" spans="2:12" x14ac:dyDescent="0.2">
      <c r="C2073" s="1192"/>
      <c r="D2073" s="930"/>
      <c r="E2073" s="1360" t="s">
        <v>2107</v>
      </c>
      <c r="F2073" s="930"/>
      <c r="G2073" s="1940">
        <f>+$I$5</f>
        <v>0.13614999999999999</v>
      </c>
      <c r="H2073" s="930"/>
      <c r="I2073" s="1367">
        <f>I2070*G2073</f>
        <v>178.41096000000002</v>
      </c>
      <c r="J2073" s="1187"/>
      <c r="K2073" s="1366"/>
    </row>
    <row r="2074" spans="2:12" x14ac:dyDescent="0.2">
      <c r="C2074" s="1192"/>
      <c r="D2074" s="930"/>
      <c r="E2074" s="930"/>
      <c r="F2074" s="930"/>
      <c r="G2074" s="930"/>
      <c r="H2074" s="930"/>
      <c r="I2074" s="1368">
        <f>(ROUND(SUM(I2069:I2073),1))</f>
        <v>6377.3</v>
      </c>
      <c r="J2074" s="1187"/>
    </row>
    <row r="2075" spans="2:12" x14ac:dyDescent="0.2">
      <c r="B2075" s="1191"/>
      <c r="C2075" s="1140"/>
      <c r="D2075" s="1183"/>
      <c r="E2075" s="1352"/>
      <c r="F2075" s="1178"/>
      <c r="G2075" s="1128"/>
      <c r="H2075" s="1143"/>
      <c r="I2075" s="1182"/>
      <c r="J2075" s="1128"/>
      <c r="K2075" s="1128"/>
      <c r="L2075" s="1128"/>
    </row>
    <row r="2076" spans="2:12" x14ac:dyDescent="0.2">
      <c r="B2076" s="1191"/>
      <c r="C2076" s="1140"/>
      <c r="D2076" s="1183"/>
      <c r="E2076" s="1352"/>
      <c r="F2076" s="1178"/>
      <c r="G2076" s="1128"/>
      <c r="H2076" s="1143"/>
      <c r="I2076" s="1182"/>
      <c r="J2076" s="1128"/>
      <c r="K2076" s="1128"/>
      <c r="L2076" s="1128"/>
    </row>
    <row r="2077" spans="2:12" ht="23.25" x14ac:dyDescent="0.2">
      <c r="B2077" s="2041" t="s">
        <v>1658</v>
      </c>
      <c r="C2077" s="1127" t="s">
        <v>1659</v>
      </c>
      <c r="D2077" s="1128" t="s">
        <v>2085</v>
      </c>
      <c r="E2077" s="1129"/>
      <c r="F2077" s="1128"/>
      <c r="G2077" s="1128"/>
      <c r="H2077" s="1128"/>
      <c r="I2077" s="1128"/>
      <c r="J2077" s="1128"/>
      <c r="K2077" s="1128"/>
      <c r="L2077" s="1128"/>
    </row>
    <row r="2078" spans="2:12" x14ac:dyDescent="0.2">
      <c r="B2078" s="2042"/>
      <c r="C2078" s="1140"/>
      <c r="D2078" s="1128" t="s">
        <v>1660</v>
      </c>
      <c r="E2078" s="1129"/>
      <c r="F2078" s="1128"/>
      <c r="G2078" s="1128"/>
      <c r="H2078" s="1128"/>
      <c r="I2078" s="1128"/>
      <c r="J2078" s="1128"/>
      <c r="K2078" s="1128"/>
      <c r="L2078" s="1128"/>
    </row>
    <row r="2079" spans="2:12" x14ac:dyDescent="0.2">
      <c r="B2079" s="2042"/>
      <c r="C2079" s="1140"/>
      <c r="D2079" s="1128" t="s">
        <v>1661</v>
      </c>
      <c r="E2079" s="1129"/>
      <c r="F2079" s="1128"/>
      <c r="G2079" s="1128"/>
      <c r="H2079" s="1128"/>
      <c r="I2079" s="1128"/>
      <c r="J2079" s="1128"/>
      <c r="K2079" s="1128"/>
      <c r="L2079" s="1128"/>
    </row>
    <row r="2080" spans="2:12" x14ac:dyDescent="0.2">
      <c r="B2080" s="2043"/>
      <c r="C2080" s="1140"/>
      <c r="D2080" s="1128"/>
      <c r="E2080" s="1129"/>
      <c r="F2080" s="1128"/>
      <c r="G2080" s="1128"/>
      <c r="H2080" s="1128"/>
      <c r="I2080" s="1128"/>
      <c r="J2080" s="1128"/>
      <c r="K2080" s="1128"/>
      <c r="L2080" s="1128"/>
    </row>
    <row r="2081" spans="2:12" ht="25.5" x14ac:dyDescent="0.2">
      <c r="B2081" s="1191"/>
      <c r="C2081" s="1369" t="s">
        <v>1328</v>
      </c>
      <c r="D2081" s="1128"/>
      <c r="E2081" s="1129" t="s">
        <v>1662</v>
      </c>
      <c r="F2081" s="1128"/>
      <c r="G2081" s="1273" t="s">
        <v>1330</v>
      </c>
      <c r="H2081" s="1370">
        <v>2</v>
      </c>
      <c r="I2081" s="1128" t="s">
        <v>513</v>
      </c>
      <c r="J2081" s="1128"/>
      <c r="K2081" s="1128"/>
      <c r="L2081" s="1128"/>
    </row>
    <row r="2082" spans="2:12" x14ac:dyDescent="0.2">
      <c r="B2082" s="1191"/>
      <c r="C2082" s="1140"/>
      <c r="D2082" s="1128"/>
      <c r="E2082" s="1129" t="s">
        <v>1663</v>
      </c>
      <c r="F2082" s="1128"/>
      <c r="G2082" s="1273" t="s">
        <v>1330</v>
      </c>
      <c r="H2082" s="1370">
        <v>8</v>
      </c>
      <c r="I2082" s="1128" t="s">
        <v>513</v>
      </c>
      <c r="J2082" s="1128"/>
      <c r="K2082" s="1128"/>
      <c r="L2082" s="1128"/>
    </row>
    <row r="2083" spans="2:12" x14ac:dyDescent="0.2">
      <c r="B2083" s="1191"/>
      <c r="C2083" s="1140"/>
      <c r="D2083" s="1128"/>
      <c r="E2083" s="1129" t="s">
        <v>1664</v>
      </c>
      <c r="F2083" s="1128"/>
      <c r="G2083" s="1273"/>
      <c r="H2083" s="1370"/>
      <c r="I2083" s="1128"/>
      <c r="J2083" s="1128"/>
      <c r="K2083" s="1128"/>
      <c r="L2083" s="1128"/>
    </row>
    <row r="2084" spans="2:12" x14ac:dyDescent="0.2">
      <c r="B2084" s="1191"/>
      <c r="C2084" s="1140"/>
      <c r="D2084" s="1128"/>
      <c r="E2084" s="1129" t="s">
        <v>1663</v>
      </c>
      <c r="F2084" s="1128"/>
      <c r="G2084" s="1273" t="s">
        <v>1330</v>
      </c>
      <c r="H2084" s="1370">
        <v>4</v>
      </c>
      <c r="I2084" s="1128" t="s">
        <v>513</v>
      </c>
      <c r="J2084" s="1128"/>
      <c r="K2084" s="1128"/>
      <c r="L2084" s="1128"/>
    </row>
    <row r="2085" spans="2:12" x14ac:dyDescent="0.2">
      <c r="B2085" s="1191"/>
      <c r="C2085" s="1140"/>
      <c r="D2085" s="1128"/>
      <c r="E2085" s="1129" t="s">
        <v>1665</v>
      </c>
      <c r="F2085" s="1128"/>
      <c r="G2085" s="1273"/>
      <c r="H2085" s="1370"/>
      <c r="I2085" s="1128"/>
      <c r="J2085" s="1128"/>
      <c r="K2085" s="1128"/>
      <c r="L2085" s="1128"/>
    </row>
    <row r="2086" spans="2:12" x14ac:dyDescent="0.2">
      <c r="B2086" s="1191"/>
      <c r="C2086" s="1140"/>
      <c r="D2086" s="1128"/>
      <c r="E2086" s="1129" t="s">
        <v>1666</v>
      </c>
      <c r="F2086" s="1128"/>
      <c r="G2086" s="1273" t="s">
        <v>1330</v>
      </c>
      <c r="H2086" s="1370">
        <v>1</v>
      </c>
      <c r="I2086" s="1128" t="s">
        <v>513</v>
      </c>
      <c r="J2086" s="1128"/>
      <c r="K2086" s="1128"/>
      <c r="L2086" s="1128"/>
    </row>
    <row r="2087" spans="2:12" x14ac:dyDescent="0.2">
      <c r="B2087" s="1191"/>
      <c r="C2087" s="1140"/>
      <c r="D2087" s="1128"/>
      <c r="E2087" s="1129"/>
      <c r="F2087" s="1128"/>
      <c r="G2087" s="1128"/>
      <c r="H2087" s="1128"/>
      <c r="I2087" s="1128"/>
      <c r="J2087" s="1128"/>
      <c r="K2087" s="1128"/>
      <c r="L2087" s="1128"/>
    </row>
    <row r="2088" spans="2:12" x14ac:dyDescent="0.2">
      <c r="B2088" s="1191"/>
      <c r="C2088" s="1140"/>
      <c r="D2088" s="1128"/>
      <c r="E2088" s="1371" t="s">
        <v>1373</v>
      </c>
      <c r="F2088" s="1128"/>
      <c r="G2088" s="1143" t="s">
        <v>1374</v>
      </c>
      <c r="H2088" s="1134">
        <v>100</v>
      </c>
      <c r="I2088" s="1128" t="s">
        <v>1087</v>
      </c>
      <c r="J2088" s="1128"/>
      <c r="K2088" s="1128"/>
      <c r="L2088" s="1128"/>
    </row>
    <row r="2089" spans="2:12" x14ac:dyDescent="0.2">
      <c r="B2089" s="1191"/>
      <c r="C2089" s="1140"/>
      <c r="D2089" s="1178" t="s">
        <v>1667</v>
      </c>
      <c r="E2089" s="1129"/>
      <c r="F2089" s="1128"/>
      <c r="G2089" s="1128"/>
      <c r="H2089" s="1128"/>
      <c r="I2089" s="1128"/>
      <c r="J2089" s="1128"/>
      <c r="K2089" s="1128"/>
      <c r="L2089" s="1128"/>
    </row>
    <row r="2090" spans="2:12" ht="25.5" x14ac:dyDescent="0.2">
      <c r="B2090" s="1191"/>
      <c r="C2090" s="1140"/>
      <c r="D2090" s="1372" t="s">
        <v>1376</v>
      </c>
      <c r="E2090" s="1373" t="s">
        <v>1529</v>
      </c>
      <c r="F2090" s="1372" t="s">
        <v>1378</v>
      </c>
      <c r="G2090" s="1372" t="s">
        <v>139</v>
      </c>
      <c r="H2090" s="1372" t="s">
        <v>1668</v>
      </c>
      <c r="I2090" s="1372" t="s">
        <v>1669</v>
      </c>
      <c r="J2090" s="1128"/>
      <c r="K2090" s="1128"/>
      <c r="L2090" s="1128"/>
    </row>
    <row r="2091" spans="2:12" x14ac:dyDescent="0.2">
      <c r="B2091" s="1191"/>
      <c r="C2091" s="1140"/>
      <c r="D2091" s="1372"/>
      <c r="E2091" s="1374"/>
      <c r="F2091" s="1372"/>
      <c r="G2091" s="1372"/>
      <c r="H2091" s="1372"/>
      <c r="I2091" s="1372"/>
      <c r="J2091" s="1128"/>
      <c r="K2091" s="1128"/>
      <c r="L2091" s="1128"/>
    </row>
    <row r="2092" spans="2:12" x14ac:dyDescent="0.2">
      <c r="B2092" s="1191"/>
      <c r="C2092" s="1140"/>
      <c r="D2092" s="1375">
        <v>1</v>
      </c>
      <c r="E2092" s="1376" t="s">
        <v>1670</v>
      </c>
      <c r="F2092" s="1375" t="s">
        <v>1087</v>
      </c>
      <c r="G2092" s="1377">
        <v>100</v>
      </c>
      <c r="H2092" s="1340">
        <v>28</v>
      </c>
      <c r="I2092" s="1378">
        <f>G2092*H2092</f>
        <v>2800</v>
      </c>
      <c r="J2092" s="1128"/>
      <c r="K2092" s="1128"/>
      <c r="L2092" s="1128"/>
    </row>
    <row r="2093" spans="2:12" ht="25.5" x14ac:dyDescent="0.2">
      <c r="B2093" s="1191"/>
      <c r="C2093" s="1140"/>
      <c r="D2093" s="1379"/>
      <c r="E2093" s="1356" t="s">
        <v>1671</v>
      </c>
      <c r="F2093" s="1128"/>
      <c r="G2093" s="1356"/>
      <c r="H2093" s="1356"/>
      <c r="I2093" s="1380">
        <f>SUM(I2092)</f>
        <v>2800</v>
      </c>
      <c r="J2093" s="1128"/>
      <c r="K2093" s="1128"/>
      <c r="L2093" s="1128"/>
    </row>
    <row r="2094" spans="2:12" x14ac:dyDescent="0.2">
      <c r="B2094" s="1191"/>
      <c r="C2094" s="1140"/>
      <c r="D2094" s="1128"/>
      <c r="E2094" s="1129"/>
      <c r="F2094" s="1128"/>
      <c r="G2094" s="1128"/>
      <c r="H2094" s="1128"/>
      <c r="I2094" s="1128"/>
      <c r="J2094" s="1128"/>
      <c r="K2094" s="1128"/>
      <c r="L2094" s="1128"/>
    </row>
    <row r="2095" spans="2:12" x14ac:dyDescent="0.2">
      <c r="B2095" s="1191"/>
      <c r="C2095" s="1140"/>
      <c r="D2095" s="1178" t="s">
        <v>1672</v>
      </c>
      <c r="E2095" s="1129"/>
      <c r="F2095" s="1128"/>
      <c r="G2095" s="1128"/>
      <c r="H2095" s="1128"/>
      <c r="I2095" s="1128"/>
      <c r="J2095" s="1128"/>
      <c r="K2095" s="1128"/>
      <c r="L2095" s="1128"/>
    </row>
    <row r="2096" spans="2:12" ht="25.5" x14ac:dyDescent="0.2">
      <c r="B2096" s="1191"/>
      <c r="C2096" s="1140"/>
      <c r="D2096" s="1372" t="s">
        <v>1376</v>
      </c>
      <c r="E2096" s="1373" t="s">
        <v>284</v>
      </c>
      <c r="F2096" s="1372" t="s">
        <v>1378</v>
      </c>
      <c r="G2096" s="1372" t="s">
        <v>139</v>
      </c>
      <c r="H2096" s="1372" t="s">
        <v>1668</v>
      </c>
      <c r="I2096" s="1372" t="s">
        <v>1669</v>
      </c>
      <c r="J2096" s="1128"/>
      <c r="K2096" s="1128"/>
      <c r="L2096" s="1128"/>
    </row>
    <row r="2097" spans="2:12" x14ac:dyDescent="0.2">
      <c r="B2097" s="1191"/>
      <c r="C2097" s="1140"/>
      <c r="D2097" s="1372"/>
      <c r="E2097" s="1374"/>
      <c r="F2097" s="1372"/>
      <c r="G2097" s="1372"/>
      <c r="H2097" s="1372"/>
      <c r="I2097" s="1372"/>
      <c r="J2097" s="1128"/>
      <c r="K2097" s="1128"/>
      <c r="L2097" s="1128"/>
    </row>
    <row r="2098" spans="2:12" x14ac:dyDescent="0.2">
      <c r="B2098" s="1191"/>
      <c r="C2098" s="1140"/>
      <c r="D2098" s="1381">
        <v>1</v>
      </c>
      <c r="E2098" s="1373" t="s">
        <v>1445</v>
      </c>
      <c r="F2098" s="1381"/>
      <c r="G2098" s="1382">
        <v>0</v>
      </c>
      <c r="H2098" s="1383">
        <v>0</v>
      </c>
      <c r="I2098" s="1378">
        <f>G2098*H2098</f>
        <v>0</v>
      </c>
      <c r="J2098" s="1128"/>
      <c r="K2098" s="1128"/>
      <c r="L2098" s="1128"/>
    </row>
    <row r="2099" spans="2:12" x14ac:dyDescent="0.2">
      <c r="B2099" s="1191"/>
      <c r="C2099" s="1140"/>
      <c r="D2099" s="1384"/>
      <c r="E2099" s="1385"/>
      <c r="F2099" s="1386"/>
      <c r="G2099" s="1387">
        <v>0</v>
      </c>
      <c r="H2099" s="1388">
        <v>0</v>
      </c>
      <c r="I2099" s="1378">
        <f>G2099*H2099</f>
        <v>0</v>
      </c>
      <c r="J2099" s="1128"/>
      <c r="K2099" s="1128"/>
      <c r="L2099" s="1128"/>
    </row>
    <row r="2100" spans="2:12" ht="38.25" x14ac:dyDescent="0.2">
      <c r="B2100" s="1191"/>
      <c r="C2100" s="1140"/>
      <c r="D2100" s="1379"/>
      <c r="E2100" s="1356" t="s">
        <v>1673</v>
      </c>
      <c r="F2100" s="1356"/>
      <c r="G2100" s="1356"/>
      <c r="H2100" s="1389"/>
      <c r="I2100" s="1380">
        <f>SUM(I2098:I2099)</f>
        <v>0</v>
      </c>
      <c r="J2100" s="1128"/>
      <c r="K2100" s="1128"/>
      <c r="L2100" s="1128"/>
    </row>
    <row r="2101" spans="2:12" x14ac:dyDescent="0.2">
      <c r="B2101" s="1191"/>
      <c r="C2101" s="1140"/>
      <c r="D2101" s="1128"/>
      <c r="E2101" s="1129"/>
      <c r="F2101" s="1128"/>
      <c r="G2101" s="1128"/>
      <c r="H2101" s="1128"/>
      <c r="I2101" s="1128"/>
      <c r="J2101" s="1128"/>
      <c r="K2101" s="1128"/>
      <c r="L2101" s="1128"/>
    </row>
    <row r="2102" spans="2:12" x14ac:dyDescent="0.2">
      <c r="B2102" s="1191"/>
      <c r="C2102" s="1140"/>
      <c r="D2102" s="1178" t="s">
        <v>1674</v>
      </c>
      <c r="E2102" s="1129"/>
      <c r="F2102" s="1128"/>
      <c r="G2102" s="1128"/>
      <c r="H2102" s="1128"/>
      <c r="I2102" s="1128"/>
      <c r="J2102" s="1128"/>
      <c r="K2102" s="1128"/>
      <c r="L2102" s="1128"/>
    </row>
    <row r="2103" spans="2:12" ht="25.5" x14ac:dyDescent="0.2">
      <c r="B2103" s="1191"/>
      <c r="C2103" s="1140"/>
      <c r="D2103" s="1372" t="s">
        <v>1376</v>
      </c>
      <c r="E2103" s="1373" t="s">
        <v>284</v>
      </c>
      <c r="F2103" s="1372" t="s">
        <v>1378</v>
      </c>
      <c r="G2103" s="1372" t="s">
        <v>139</v>
      </c>
      <c r="H2103" s="1372" t="s">
        <v>1668</v>
      </c>
      <c r="I2103" s="1372" t="s">
        <v>1669</v>
      </c>
      <c r="J2103" s="1128"/>
      <c r="K2103" s="1128"/>
      <c r="L2103" s="1128"/>
    </row>
    <row r="2104" spans="2:12" x14ac:dyDescent="0.2">
      <c r="B2104" s="1191"/>
      <c r="C2104" s="1140"/>
      <c r="D2104" s="1381"/>
      <c r="E2104" s="1374"/>
      <c r="F2104" s="1381"/>
      <c r="G2104" s="1381"/>
      <c r="H2104" s="1381"/>
      <c r="I2104" s="1381"/>
      <c r="J2104" s="1128"/>
      <c r="K2104" s="1128"/>
      <c r="L2104" s="1128"/>
    </row>
    <row r="2105" spans="2:12" x14ac:dyDescent="0.2">
      <c r="B2105" s="1191"/>
      <c r="C2105" s="1140"/>
      <c r="D2105" s="1381">
        <v>1</v>
      </c>
      <c r="E2105" s="1390" t="s">
        <v>1675</v>
      </c>
      <c r="F2105" s="1391" t="s">
        <v>1392</v>
      </c>
      <c r="G2105" s="1387">
        <v>7</v>
      </c>
      <c r="H2105" s="1392">
        <f>H2029</f>
        <v>320</v>
      </c>
      <c r="I2105" s="1378">
        <f>G2105*H2105</f>
        <v>2240</v>
      </c>
      <c r="J2105" s="1128"/>
      <c r="K2105" s="1128"/>
      <c r="L2105" s="1128"/>
    </row>
    <row r="2106" spans="2:12" ht="25.5" x14ac:dyDescent="0.2">
      <c r="B2106" s="1191"/>
      <c r="C2106" s="1140"/>
      <c r="D2106" s="1386">
        <v>2</v>
      </c>
      <c r="E2106" s="1393" t="s">
        <v>1676</v>
      </c>
      <c r="F2106" s="1391" t="s">
        <v>1392</v>
      </c>
      <c r="G2106" s="1387">
        <v>2</v>
      </c>
      <c r="H2106" s="1152">
        <f>H2030</f>
        <v>440</v>
      </c>
      <c r="I2106" s="1378">
        <f>G2106*H2106</f>
        <v>880</v>
      </c>
      <c r="J2106" s="1128"/>
      <c r="K2106" s="1128"/>
      <c r="L2106" s="1128"/>
    </row>
    <row r="2107" spans="2:12" ht="25.5" x14ac:dyDescent="0.2">
      <c r="B2107" s="1191"/>
      <c r="C2107" s="1140"/>
      <c r="D2107" s="1379"/>
      <c r="E2107" s="1356" t="s">
        <v>1677</v>
      </c>
      <c r="F2107" s="1356"/>
      <c r="G2107" s="1356"/>
      <c r="H2107" s="1389"/>
      <c r="I2107" s="1380">
        <f>SUM(I2105:I2106)</f>
        <v>3120</v>
      </c>
      <c r="J2107" s="1128"/>
      <c r="K2107" s="1128"/>
      <c r="L2107" s="1128"/>
    </row>
    <row r="2108" spans="2:12" x14ac:dyDescent="0.2">
      <c r="B2108" s="1191"/>
      <c r="C2108" s="1140"/>
      <c r="D2108" s="1358" t="s">
        <v>1395</v>
      </c>
      <c r="E2108" s="1129"/>
      <c r="F2108" s="1174"/>
      <c r="G2108" s="1176">
        <f>I2107/H2088</f>
        <v>31.2</v>
      </c>
      <c r="H2108" s="1128"/>
      <c r="I2108" s="1128"/>
      <c r="J2108" s="1128"/>
      <c r="K2108" s="1128"/>
      <c r="L2108" s="1128"/>
    </row>
    <row r="2109" spans="2:12" x14ac:dyDescent="0.2">
      <c r="B2109" s="1191"/>
      <c r="C2109" s="1140"/>
      <c r="D2109" s="129" t="s">
        <v>2102</v>
      </c>
      <c r="E2109" s="1129"/>
      <c r="F2109" s="1940">
        <f>+$I$5</f>
        <v>0.13614999999999999</v>
      </c>
      <c r="G2109" s="1176">
        <f>G2108*0.14</f>
        <v>4.3680000000000003</v>
      </c>
      <c r="H2109" s="1128"/>
      <c r="I2109" s="1128"/>
      <c r="J2109" s="1128"/>
      <c r="K2109" s="1128"/>
      <c r="L2109" s="1128"/>
    </row>
    <row r="2110" spans="2:12" x14ac:dyDescent="0.2">
      <c r="B2110" s="1191"/>
      <c r="C2110" s="1140"/>
      <c r="D2110" s="1174" t="s">
        <v>2103</v>
      </c>
      <c r="E2110" s="1129"/>
      <c r="F2110" s="1174"/>
      <c r="G2110" s="1177">
        <f>SUM(G2108:G2109)</f>
        <v>35.567999999999998</v>
      </c>
      <c r="H2110" s="1128"/>
      <c r="I2110" s="1128"/>
      <c r="J2110" s="1128"/>
      <c r="K2110" s="1128"/>
      <c r="L2110" s="1128"/>
    </row>
    <row r="2111" spans="2:12" x14ac:dyDescent="0.2">
      <c r="B2111" s="1191"/>
      <c r="C2111" s="1140"/>
      <c r="D2111" s="1128"/>
      <c r="E2111" s="1129"/>
      <c r="F2111" s="1128"/>
      <c r="G2111" s="1128"/>
      <c r="H2111" s="1128"/>
      <c r="I2111" s="1128"/>
      <c r="J2111" s="1128"/>
      <c r="K2111" s="1128"/>
      <c r="L2111" s="1128"/>
    </row>
    <row r="2112" spans="2:12" x14ac:dyDescent="0.2">
      <c r="B2112" s="1191"/>
      <c r="C2112" s="1140"/>
      <c r="D2112" s="1394" t="s">
        <v>1678</v>
      </c>
      <c r="E2112" s="1129"/>
      <c r="F2112" s="1128"/>
      <c r="G2112" s="1128"/>
      <c r="H2112" s="1128"/>
      <c r="I2112" s="1128"/>
      <c r="J2112" s="1128"/>
      <c r="K2112" s="1128"/>
      <c r="L2112" s="1128"/>
    </row>
    <row r="2113" spans="1:12" x14ac:dyDescent="0.2">
      <c r="B2113" s="1191"/>
      <c r="C2113" s="1140"/>
      <c r="D2113" s="1128" t="s">
        <v>1679</v>
      </c>
      <c r="E2113" s="1129"/>
      <c r="F2113" s="1128"/>
      <c r="G2113" s="1128"/>
      <c r="H2113" s="1143" t="s">
        <v>1680</v>
      </c>
      <c r="I2113" s="1395">
        <f>I2093</f>
        <v>2800</v>
      </c>
      <c r="J2113" s="1128"/>
      <c r="K2113" s="1128"/>
      <c r="L2113" s="1128"/>
    </row>
    <row r="2114" spans="1:12" x14ac:dyDescent="0.2">
      <c r="B2114" s="1191"/>
      <c r="C2114" s="1140"/>
      <c r="D2114" s="1128" t="s">
        <v>1398</v>
      </c>
      <c r="E2114" s="1129"/>
      <c r="F2114" s="1128"/>
      <c r="G2114" s="1128"/>
      <c r="H2114" s="1143" t="s">
        <v>1680</v>
      </c>
      <c r="I2114" s="1395">
        <f>I2100</f>
        <v>0</v>
      </c>
      <c r="J2114" s="1128"/>
      <c r="K2114" s="1128"/>
      <c r="L2114" s="1128"/>
    </row>
    <row r="2115" spans="1:12" x14ac:dyDescent="0.2">
      <c r="B2115" s="1191"/>
      <c r="C2115" s="1140"/>
      <c r="D2115" s="1128" t="s">
        <v>1681</v>
      </c>
      <c r="E2115" s="1129"/>
      <c r="F2115" s="1128"/>
      <c r="G2115" s="1128"/>
      <c r="H2115" s="1143" t="s">
        <v>1680</v>
      </c>
      <c r="I2115" s="1395">
        <f>I2107</f>
        <v>3120</v>
      </c>
      <c r="J2115" s="1128" t="s">
        <v>1400</v>
      </c>
      <c r="K2115" s="1128"/>
      <c r="L2115" s="1128"/>
    </row>
    <row r="2116" spans="1:12" x14ac:dyDescent="0.2">
      <c r="B2116" s="1191"/>
      <c r="C2116" s="1140"/>
      <c r="D2116" s="1128"/>
      <c r="E2116" s="129" t="str">
        <f>+IF($I$4=0%,"---","Municipal allowance")</f>
        <v>Municipal allowance</v>
      </c>
      <c r="F2116" s="928">
        <f>$I$4</f>
        <v>0.2</v>
      </c>
      <c r="G2116" s="1128"/>
      <c r="H2116" s="1143"/>
      <c r="I2116" s="1179">
        <f>I2115*F2116</f>
        <v>624</v>
      </c>
      <c r="J2116" s="1128"/>
      <c r="K2116" s="1128"/>
      <c r="L2116" s="1128"/>
    </row>
    <row r="2117" spans="1:12" x14ac:dyDescent="0.2">
      <c r="B2117" s="1191"/>
      <c r="C2117" s="1140"/>
      <c r="D2117" s="1132"/>
      <c r="E2117" s="1129"/>
      <c r="F2117" s="1128"/>
      <c r="G2117" s="1143" t="s">
        <v>1682</v>
      </c>
      <c r="H2117" s="1143" t="s">
        <v>1680</v>
      </c>
      <c r="I2117" s="1181">
        <f>SUM(I2113:I2116)</f>
        <v>6544</v>
      </c>
      <c r="J2117" s="1128"/>
      <c r="K2117" s="1128"/>
      <c r="L2117" s="1128"/>
    </row>
    <row r="2118" spans="1:12" x14ac:dyDescent="0.2">
      <c r="B2118" s="1191"/>
      <c r="C2118" s="1140"/>
      <c r="D2118" s="2040" t="s">
        <v>2105</v>
      </c>
      <c r="E2118" s="2040"/>
      <c r="F2118" s="2040"/>
      <c r="G2118" s="1940">
        <f>+$I$5</f>
        <v>0.13614999999999999</v>
      </c>
      <c r="H2118" s="1143" t="s">
        <v>1382</v>
      </c>
      <c r="I2118" s="1174">
        <f>I2117*G2118</f>
        <v>890.96559999999999</v>
      </c>
      <c r="J2118" s="1128"/>
      <c r="K2118" s="1128"/>
      <c r="L2118" s="1128"/>
    </row>
    <row r="2119" spans="1:12" x14ac:dyDescent="0.2">
      <c r="B2119" s="1191"/>
      <c r="C2119" s="1140"/>
      <c r="D2119" s="1128" t="s">
        <v>1402</v>
      </c>
      <c r="E2119" s="1129"/>
      <c r="F2119" s="1182">
        <f>H2088</f>
        <v>100</v>
      </c>
      <c r="G2119" s="1182" t="s">
        <v>1087</v>
      </c>
      <c r="H2119" s="1143" t="s">
        <v>1382</v>
      </c>
      <c r="I2119" s="1182">
        <f>SUM(I2117:I2118)</f>
        <v>7434.9655999999995</v>
      </c>
      <c r="J2119" s="1128"/>
      <c r="K2119" s="1128"/>
      <c r="L2119" s="1128"/>
    </row>
    <row r="2120" spans="1:12" x14ac:dyDescent="0.2">
      <c r="A2120" s="933"/>
      <c r="B2120" s="1191"/>
      <c r="C2120" s="1140"/>
      <c r="D2120" s="1183" t="s">
        <v>1403</v>
      </c>
      <c r="E2120" s="1352" t="s">
        <v>1087</v>
      </c>
      <c r="F2120" s="1178" t="s">
        <v>1602</v>
      </c>
      <c r="G2120" s="1128"/>
      <c r="H2120" s="1143" t="s">
        <v>1022</v>
      </c>
      <c r="I2120" s="1170">
        <f>ROUND(I2119/F2119,1)</f>
        <v>74.3</v>
      </c>
      <c r="J2120" s="1128"/>
      <c r="K2120" s="1128"/>
      <c r="L2120" s="1128"/>
    </row>
    <row r="2122" spans="1:12" ht="15" x14ac:dyDescent="0.25">
      <c r="B2122" s="2036" t="s">
        <v>1683</v>
      </c>
      <c r="C2122" s="1396" t="s">
        <v>1684</v>
      </c>
      <c r="D2122" s="1397" t="s">
        <v>2084</v>
      </c>
      <c r="E2122" s="1398"/>
      <c r="F2122" s="1398"/>
      <c r="G2122" s="1398"/>
      <c r="H2122" s="1398"/>
      <c r="I2122" s="1398"/>
    </row>
    <row r="2123" spans="1:12" ht="15" x14ac:dyDescent="0.25">
      <c r="B2123" s="2037"/>
      <c r="D2123" s="1397" t="s">
        <v>1685</v>
      </c>
      <c r="E2123" s="1398"/>
      <c r="F2123" s="1398"/>
      <c r="G2123" s="1398"/>
      <c r="H2123" s="1398"/>
      <c r="I2123" s="1398"/>
    </row>
    <row r="2124" spans="1:12" ht="15" x14ac:dyDescent="0.25">
      <c r="D2124" s="1397" t="s">
        <v>1686</v>
      </c>
      <c r="E2124" s="1398"/>
      <c r="F2124" s="1398"/>
      <c r="G2124" s="1398"/>
      <c r="H2124" s="1398"/>
      <c r="I2124" s="1398"/>
    </row>
    <row r="2125" spans="1:12" ht="15" x14ac:dyDescent="0.25">
      <c r="D2125" s="1399" t="s">
        <v>1541</v>
      </c>
      <c r="E2125" s="1398"/>
      <c r="F2125" s="1398"/>
      <c r="G2125" s="1398"/>
      <c r="H2125" s="1398"/>
      <c r="I2125" s="1398"/>
    </row>
    <row r="2126" spans="1:12" ht="15" x14ac:dyDescent="0.25">
      <c r="D2126" s="1399"/>
      <c r="E2126" s="1398"/>
      <c r="F2126" s="1398"/>
      <c r="G2126" s="1398"/>
      <c r="H2126" s="1398"/>
      <c r="I2126" s="1398"/>
    </row>
    <row r="2127" spans="1:12" ht="15" x14ac:dyDescent="0.25">
      <c r="D2127" s="1397" t="s">
        <v>1687</v>
      </c>
      <c r="E2127" s="1398"/>
      <c r="F2127" s="1398"/>
      <c r="G2127" s="1398"/>
      <c r="H2127" s="1398"/>
      <c r="I2127" s="1398"/>
    </row>
    <row r="2128" spans="1:12" ht="15" x14ac:dyDescent="0.25">
      <c r="D2128" s="1397" t="s">
        <v>1688</v>
      </c>
      <c r="E2128" s="1398"/>
      <c r="F2128" s="1398"/>
      <c r="G2128" s="1400" t="s">
        <v>1330</v>
      </c>
      <c r="H2128" s="1401">
        <v>6</v>
      </c>
      <c r="I2128" s="1398" t="s">
        <v>1012</v>
      </c>
    </row>
    <row r="2129" spans="4:9" ht="15" x14ac:dyDescent="0.25">
      <c r="D2129" s="1398" t="s">
        <v>1689</v>
      </c>
      <c r="E2129" s="1398"/>
      <c r="F2129" s="1398"/>
      <c r="G2129" s="1400" t="s">
        <v>1330</v>
      </c>
      <c r="H2129" s="1401">
        <v>12</v>
      </c>
      <c r="I2129" s="1398" t="s">
        <v>1012</v>
      </c>
    </row>
    <row r="2130" spans="4:9" ht="15" x14ac:dyDescent="0.25">
      <c r="D2130" s="1398" t="s">
        <v>1527</v>
      </c>
      <c r="E2130" s="1398"/>
      <c r="F2130" s="1398"/>
      <c r="G2130" s="1400" t="s">
        <v>1330</v>
      </c>
      <c r="H2130" s="1398">
        <v>0.5</v>
      </c>
      <c r="I2130" s="1398" t="s">
        <v>1035</v>
      </c>
    </row>
    <row r="2131" spans="4:9" ht="15" x14ac:dyDescent="0.25">
      <c r="D2131" s="1398" t="s">
        <v>1690</v>
      </c>
      <c r="E2131" s="1398"/>
      <c r="F2131" s="1398"/>
      <c r="G2131" s="1398"/>
      <c r="H2131" s="1398"/>
      <c r="I2131" s="1398"/>
    </row>
    <row r="2132" spans="4:9" ht="15" x14ac:dyDescent="0.25">
      <c r="D2132" s="1400"/>
      <c r="E2132" s="1398"/>
      <c r="F2132" s="1398"/>
      <c r="G2132" s="1398"/>
      <c r="H2132" s="1398"/>
      <c r="I2132" s="1398"/>
    </row>
    <row r="2133" spans="4:9" ht="15" x14ac:dyDescent="0.25">
      <c r="D2133" s="1400"/>
      <c r="E2133" s="1402" t="s">
        <v>1373</v>
      </c>
      <c r="F2133" s="1398"/>
      <c r="G2133" s="1403" t="s">
        <v>1374</v>
      </c>
      <c r="H2133" s="1404">
        <v>10</v>
      </c>
      <c r="I2133" s="1398" t="s">
        <v>1012</v>
      </c>
    </row>
    <row r="2134" spans="4:9" ht="15" x14ac:dyDescent="0.25">
      <c r="D2134" s="1405" t="s">
        <v>1375</v>
      </c>
      <c r="E2134" s="1398"/>
      <c r="F2134" s="1398"/>
      <c r="G2134" s="1398"/>
      <c r="H2134" s="1398"/>
      <c r="I2134" s="1398"/>
    </row>
    <row r="2135" spans="4:9" ht="15" x14ac:dyDescent="0.25">
      <c r="D2135" s="1406" t="s">
        <v>1376</v>
      </c>
      <c r="E2135" s="1407" t="s">
        <v>1529</v>
      </c>
      <c r="F2135" s="1406" t="s">
        <v>1378</v>
      </c>
      <c r="G2135" s="1406" t="s">
        <v>139</v>
      </c>
      <c r="H2135" s="1406" t="s">
        <v>140</v>
      </c>
      <c r="I2135" s="1406" t="s">
        <v>141</v>
      </c>
    </row>
    <row r="2136" spans="4:9" ht="15" x14ac:dyDescent="0.25">
      <c r="D2136" s="1408"/>
      <c r="E2136" s="1409"/>
      <c r="F2136" s="1408"/>
      <c r="G2136" s="1408"/>
      <c r="H2136" s="1408" t="s">
        <v>1379</v>
      </c>
      <c r="I2136" s="1408" t="s">
        <v>1379</v>
      </c>
    </row>
    <row r="2137" spans="4:9" ht="15" x14ac:dyDescent="0.25">
      <c r="D2137" s="1406">
        <v>1</v>
      </c>
      <c r="E2137" s="1410" t="s">
        <v>1530</v>
      </c>
      <c r="F2137" s="1406" t="s">
        <v>1012</v>
      </c>
      <c r="G2137" s="1411">
        <v>12</v>
      </c>
      <c r="H2137" s="1412">
        <f>Lead!K22</f>
        <v>471.6936403643885</v>
      </c>
      <c r="I2137" s="1411">
        <f>+H2137*G2137</f>
        <v>5660.3236843726618</v>
      </c>
    </row>
    <row r="2138" spans="4:9" ht="15" x14ac:dyDescent="0.25">
      <c r="D2138" s="1413"/>
      <c r="E2138" s="1414"/>
      <c r="F2138" s="1408"/>
      <c r="G2138" s="1415">
        <v>0</v>
      </c>
      <c r="H2138" s="1416">
        <v>0</v>
      </c>
      <c r="I2138" s="1411">
        <f>+H2138*G2138</f>
        <v>0</v>
      </c>
    </row>
    <row r="2139" spans="4:9" ht="15" x14ac:dyDescent="0.25">
      <c r="D2139" s="1417"/>
      <c r="E2139" s="1418" t="s">
        <v>1531</v>
      </c>
      <c r="F2139" s="1418" t="s">
        <v>1532</v>
      </c>
      <c r="G2139" s="1419"/>
      <c r="H2139" s="1420" t="s">
        <v>1382</v>
      </c>
      <c r="I2139" s="1411">
        <v>0</v>
      </c>
    </row>
    <row r="2140" spans="4:9" ht="15" x14ac:dyDescent="0.25">
      <c r="D2140" s="1421"/>
      <c r="E2140" s="1422" t="s">
        <v>1381</v>
      </c>
      <c r="F2140" s="1423"/>
      <c r="G2140" s="1424"/>
      <c r="H2140" s="1425" t="s">
        <v>1382</v>
      </c>
      <c r="I2140" s="1426">
        <f>SUM(I2137:I2139)</f>
        <v>5660.3236843726618</v>
      </c>
    </row>
    <row r="2141" spans="4:9" ht="15" x14ac:dyDescent="0.25">
      <c r="D2141" s="1400"/>
      <c r="E2141" s="1398"/>
      <c r="F2141" s="1398"/>
      <c r="G2141" s="1398"/>
      <c r="H2141" s="1398"/>
      <c r="I2141" s="1401"/>
    </row>
    <row r="2142" spans="4:9" ht="15" x14ac:dyDescent="0.25">
      <c r="D2142" s="1405" t="s">
        <v>1383</v>
      </c>
      <c r="E2142" s="1398"/>
      <c r="F2142" s="1398"/>
      <c r="G2142" s="1398"/>
      <c r="H2142" s="1398"/>
      <c r="I2142" s="1398"/>
    </row>
    <row r="2143" spans="4:9" ht="15" x14ac:dyDescent="0.25">
      <c r="D2143" s="1406" t="s">
        <v>1376</v>
      </c>
      <c r="E2143" s="1407" t="s">
        <v>284</v>
      </c>
      <c r="F2143" s="1406" t="s">
        <v>1378</v>
      </c>
      <c r="G2143" s="1406" t="s">
        <v>139</v>
      </c>
      <c r="H2143" s="1406" t="s">
        <v>140</v>
      </c>
      <c r="I2143" s="1406" t="s">
        <v>141</v>
      </c>
    </row>
    <row r="2144" spans="4:9" ht="15" x14ac:dyDescent="0.25">
      <c r="D2144" s="1408"/>
      <c r="E2144" s="1409"/>
      <c r="F2144" s="1408"/>
      <c r="G2144" s="1408"/>
      <c r="H2144" s="1408" t="s">
        <v>1379</v>
      </c>
      <c r="I2144" s="1408" t="s">
        <v>1379</v>
      </c>
    </row>
    <row r="2145" spans="4:10" ht="15" x14ac:dyDescent="0.25">
      <c r="D2145" s="1406">
        <v>1</v>
      </c>
      <c r="E2145" s="1406" t="s">
        <v>1445</v>
      </c>
      <c r="F2145" s="1427"/>
      <c r="G2145" s="1428">
        <v>0</v>
      </c>
      <c r="H2145" s="1429">
        <v>0</v>
      </c>
      <c r="I2145" s="1411">
        <v>0</v>
      </c>
    </row>
    <row r="2146" spans="4:10" ht="15" x14ac:dyDescent="0.25">
      <c r="D2146" s="1413"/>
      <c r="E2146" s="1408"/>
      <c r="F2146" s="1430"/>
      <c r="G2146" s="1415">
        <v>0</v>
      </c>
      <c r="H2146" s="1416">
        <v>0</v>
      </c>
      <c r="I2146" s="1411">
        <v>0</v>
      </c>
    </row>
    <row r="2147" spans="4:10" ht="15" x14ac:dyDescent="0.25">
      <c r="D2147" s="1431"/>
      <c r="E2147" s="1432" t="s">
        <v>1387</v>
      </c>
      <c r="F2147" s="1433"/>
      <c r="G2147" s="1434"/>
      <c r="H2147" s="1420" t="s">
        <v>1382</v>
      </c>
      <c r="I2147" s="1426">
        <v>0</v>
      </c>
    </row>
    <row r="2148" spans="4:10" ht="15" x14ac:dyDescent="0.25">
      <c r="D2148" s="1400"/>
      <c r="E2148" s="1398"/>
      <c r="F2148" s="1398"/>
      <c r="G2148" s="1398"/>
      <c r="H2148" s="1398"/>
      <c r="I2148" s="1398"/>
    </row>
    <row r="2149" spans="4:10" ht="15" x14ac:dyDescent="0.25">
      <c r="D2149" s="1405" t="s">
        <v>1388</v>
      </c>
      <c r="E2149" s="1398"/>
      <c r="F2149" s="1398"/>
      <c r="G2149" s="1398"/>
      <c r="H2149" s="1398"/>
      <c r="I2149" s="1398"/>
    </row>
    <row r="2150" spans="4:10" ht="15" x14ac:dyDescent="0.25">
      <c r="D2150" s="1406" t="s">
        <v>1376</v>
      </c>
      <c r="E2150" s="1407" t="s">
        <v>284</v>
      </c>
      <c r="F2150" s="1406" t="s">
        <v>1378</v>
      </c>
      <c r="G2150" s="1406" t="s">
        <v>139</v>
      </c>
      <c r="H2150" s="1406" t="s">
        <v>140</v>
      </c>
      <c r="I2150" s="1406" t="s">
        <v>141</v>
      </c>
    </row>
    <row r="2151" spans="4:10" ht="15" x14ac:dyDescent="0.25">
      <c r="D2151" s="1408"/>
      <c r="E2151" s="1409"/>
      <c r="F2151" s="1435"/>
      <c r="G2151" s="1435"/>
      <c r="H2151" s="1435" t="s">
        <v>1379</v>
      </c>
      <c r="I2151" s="1408" t="s">
        <v>1379</v>
      </c>
    </row>
    <row r="2152" spans="4:10" ht="15" x14ac:dyDescent="0.25">
      <c r="D2152" s="1406">
        <v>1</v>
      </c>
      <c r="E2152" s="1436" t="s">
        <v>1535</v>
      </c>
      <c r="F2152" s="1406" t="s">
        <v>1392</v>
      </c>
      <c r="G2152" s="1428">
        <v>0.5</v>
      </c>
      <c r="H2152" s="1348">
        <f>H2106</f>
        <v>440</v>
      </c>
      <c r="I2152" s="1411">
        <f>+H2152*G2152</f>
        <v>220</v>
      </c>
    </row>
    <row r="2153" spans="4:10" ht="15" x14ac:dyDescent="0.25">
      <c r="D2153" s="1435">
        <v>2</v>
      </c>
      <c r="E2153" s="1436" t="s">
        <v>1391</v>
      </c>
      <c r="F2153" s="1435" t="s">
        <v>1392</v>
      </c>
      <c r="G2153" s="1411">
        <v>0.5</v>
      </c>
      <c r="H2153" s="1348">
        <f>H2027</f>
        <v>400</v>
      </c>
      <c r="I2153" s="1411">
        <f>+H2153*G2153</f>
        <v>200</v>
      </c>
    </row>
    <row r="2154" spans="4:10" ht="15" x14ac:dyDescent="0.25">
      <c r="D2154" s="1408">
        <v>3</v>
      </c>
      <c r="E2154" s="1437" t="s">
        <v>1393</v>
      </c>
      <c r="F2154" s="1408" t="s">
        <v>1392</v>
      </c>
      <c r="G2154" s="1415">
        <v>6</v>
      </c>
      <c r="H2154" s="1348">
        <f>H2105</f>
        <v>320</v>
      </c>
      <c r="I2154" s="1411">
        <f>+H2154*G2154</f>
        <v>1920</v>
      </c>
    </row>
    <row r="2155" spans="4:10" ht="15" x14ac:dyDescent="0.25">
      <c r="D2155" s="1431"/>
      <c r="E2155" s="1432" t="s">
        <v>1394</v>
      </c>
      <c r="F2155" s="1433"/>
      <c r="G2155" s="1434"/>
      <c r="H2155" s="1420" t="s">
        <v>1382</v>
      </c>
      <c r="I2155" s="1426">
        <f>SUM(I2152:I2154)</f>
        <v>2340</v>
      </c>
    </row>
    <row r="2156" spans="4:10" ht="15" x14ac:dyDescent="0.25">
      <c r="D2156" s="1323" t="s">
        <v>1395</v>
      </c>
      <c r="E2156" s="1418"/>
      <c r="F2156" s="1418"/>
      <c r="G2156" s="1438">
        <v>124.35</v>
      </c>
      <c r="H2156" s="1398"/>
      <c r="I2156" s="1398"/>
      <c r="J2156" s="129">
        <f>I2155/10</f>
        <v>234</v>
      </c>
    </row>
    <row r="2157" spans="4:10" ht="15" x14ac:dyDescent="0.25">
      <c r="D2157" s="129" t="s">
        <v>2102</v>
      </c>
      <c r="E2157" s="1418"/>
      <c r="F2157" s="1946">
        <f>G2166</f>
        <v>0.13614999999999999</v>
      </c>
      <c r="G2157" s="1438">
        <f>G2156*F2157</f>
        <v>16.930252499999998</v>
      </c>
      <c r="H2157" s="1398"/>
      <c r="I2157" s="1398"/>
    </row>
    <row r="2158" spans="4:10" ht="15" x14ac:dyDescent="0.25">
      <c r="D2158" s="1300" t="s">
        <v>2103</v>
      </c>
      <c r="E2158" s="1418"/>
      <c r="F2158" s="1418"/>
      <c r="G2158" s="1439">
        <f>G2156+G2157</f>
        <v>141.28025249999999</v>
      </c>
      <c r="H2158" s="1326"/>
      <c r="I2158" s="1398"/>
    </row>
    <row r="2159" spans="4:10" ht="15" x14ac:dyDescent="0.25">
      <c r="D2159" s="1400"/>
      <c r="E2159" s="1398"/>
      <c r="F2159" s="1398"/>
      <c r="G2159" s="1398"/>
      <c r="H2159" s="1398"/>
      <c r="I2159" s="1398"/>
    </row>
    <row r="2160" spans="4:10" ht="15" x14ac:dyDescent="0.25">
      <c r="D2160" s="1399" t="s">
        <v>1396</v>
      </c>
      <c r="E2160" s="1398"/>
      <c r="F2160" s="1398"/>
      <c r="G2160" s="1398"/>
      <c r="H2160" s="1398"/>
      <c r="I2160" s="1398"/>
    </row>
    <row r="2161" spans="3:9" ht="15" x14ac:dyDescent="0.25">
      <c r="D2161" s="1398" t="s">
        <v>1515</v>
      </c>
      <c r="E2161" s="1398"/>
      <c r="F2161" s="1398"/>
      <c r="G2161" s="1398"/>
      <c r="H2161" s="1403" t="s">
        <v>1382</v>
      </c>
      <c r="I2161" s="1401">
        <f>+I2140</f>
        <v>5660.3236843726618</v>
      </c>
    </row>
    <row r="2162" spans="3:9" ht="15" x14ac:dyDescent="0.25">
      <c r="D2162" s="1398" t="s">
        <v>1398</v>
      </c>
      <c r="E2162" s="1398"/>
      <c r="F2162" s="1398"/>
      <c r="G2162" s="1398"/>
      <c r="H2162" s="1403" t="s">
        <v>1382</v>
      </c>
      <c r="I2162" s="1401">
        <f>+I2147</f>
        <v>0</v>
      </c>
    </row>
    <row r="2163" spans="3:9" ht="15" x14ac:dyDescent="0.25">
      <c r="D2163" s="1398" t="s">
        <v>1399</v>
      </c>
      <c r="E2163" s="1398"/>
      <c r="F2163" s="1398"/>
      <c r="G2163" s="1398"/>
      <c r="H2163" s="1403" t="s">
        <v>1382</v>
      </c>
      <c r="I2163" s="1440">
        <f>+I2155</f>
        <v>2340</v>
      </c>
    </row>
    <row r="2164" spans="3:9" ht="15" x14ac:dyDescent="0.25">
      <c r="D2164" s="1398"/>
      <c r="E2164" s="129" t="str">
        <f>+IF($I$4=0%,"---","Municipal allowance")</f>
        <v>Municipal allowance</v>
      </c>
      <c r="F2164" s="928">
        <f>$I$4</f>
        <v>0.2</v>
      </c>
      <c r="G2164" s="1128"/>
      <c r="H2164" s="1143"/>
      <c r="I2164" s="1179">
        <f>I2163*F2164</f>
        <v>468</v>
      </c>
    </row>
    <row r="2165" spans="3:9" ht="15" x14ac:dyDescent="0.25">
      <c r="D2165" s="1400"/>
      <c r="E2165" s="1398"/>
      <c r="F2165" s="1398"/>
      <c r="G2165" s="1403"/>
      <c r="H2165" s="1403" t="s">
        <v>1457</v>
      </c>
      <c r="I2165" s="1441">
        <f>SUM(I2161:I2164)</f>
        <v>8468.3236843726627</v>
      </c>
    </row>
    <row r="2166" spans="3:9" ht="15" x14ac:dyDescent="0.25">
      <c r="D2166" s="2038" t="s">
        <v>2105</v>
      </c>
      <c r="E2166" s="2038"/>
      <c r="F2166" s="1398"/>
      <c r="G2166" s="1940">
        <f>+$I$5</f>
        <v>0.13614999999999999</v>
      </c>
      <c r="H2166" s="1398" t="s">
        <v>1382</v>
      </c>
      <c r="I2166" s="1442">
        <f>+ROUND(I2165*G2166,0)</f>
        <v>1153</v>
      </c>
    </row>
    <row r="2167" spans="3:9" ht="18" x14ac:dyDescent="0.25">
      <c r="D2167" s="1399" t="s">
        <v>1402</v>
      </c>
      <c r="E2167" s="1443"/>
      <c r="F2167" s="1442">
        <v>10</v>
      </c>
      <c r="G2167" s="1442" t="s">
        <v>1012</v>
      </c>
      <c r="H2167" s="1398" t="s">
        <v>1382</v>
      </c>
      <c r="I2167" s="1442">
        <f>SUM(I2165:I2166)</f>
        <v>9621.3236843726627</v>
      </c>
    </row>
    <row r="2168" spans="3:9" ht="18" x14ac:dyDescent="0.25">
      <c r="D2168" s="1399" t="s">
        <v>1403</v>
      </c>
      <c r="E2168" s="1442" t="s">
        <v>1012</v>
      </c>
      <c r="F2168" s="1399" t="s">
        <v>1536</v>
      </c>
      <c r="G2168" s="1443"/>
      <c r="H2168" s="1398" t="s">
        <v>1022</v>
      </c>
      <c r="I2168" s="1170">
        <f>ROUND(I2167/F2167,1)</f>
        <v>962.1</v>
      </c>
    </row>
    <row r="2169" spans="3:9" ht="15" x14ac:dyDescent="0.25">
      <c r="D2169" s="1400"/>
      <c r="E2169" s="1398"/>
      <c r="F2169" s="1398"/>
      <c r="G2169" s="1398"/>
      <c r="H2169" s="1398"/>
      <c r="I2169" s="1398"/>
    </row>
    <row r="2170" spans="3:9" x14ac:dyDescent="0.2">
      <c r="D2170" s="2039" t="s">
        <v>2076</v>
      </c>
      <c r="E2170" s="2039"/>
    </row>
    <row r="2171" spans="3:9" x14ac:dyDescent="0.2">
      <c r="D2171" s="155"/>
      <c r="E2171" s="155"/>
      <c r="F2171" s="155"/>
      <c r="G2171" s="155"/>
      <c r="H2171" s="155"/>
      <c r="I2171" s="155"/>
    </row>
    <row r="2172" spans="3:9" ht="72" customHeight="1" x14ac:dyDescent="0.25">
      <c r="C2172" s="2033" t="s">
        <v>1691</v>
      </c>
      <c r="D2172" s="2033"/>
      <c r="E2172" s="2033"/>
      <c r="F2172" s="2033"/>
      <c r="G2172" s="2033"/>
      <c r="H2172" s="375"/>
      <c r="I2172" s="375"/>
    </row>
    <row r="2173" spans="3:9" ht="15" x14ac:dyDescent="0.25">
      <c r="C2173" s="129">
        <v>0.14299999999999999</v>
      </c>
      <c r="D2173" s="375" t="s">
        <v>1012</v>
      </c>
      <c r="E2173" s="90" t="s">
        <v>1692</v>
      </c>
      <c r="F2173" s="1444">
        <f>E161</f>
        <v>7749.3</v>
      </c>
      <c r="G2173" s="375" t="s">
        <v>1652</v>
      </c>
      <c r="H2173" s="101">
        <f>ROUND(C2173*F2173,2)</f>
        <v>1108.1500000000001</v>
      </c>
      <c r="I2173" s="375"/>
    </row>
    <row r="2174" spans="3:9" ht="15" x14ac:dyDescent="0.25">
      <c r="C2174" s="129">
        <v>2.09</v>
      </c>
      <c r="D2174" s="1445"/>
      <c r="E2174" s="166" t="s">
        <v>1123</v>
      </c>
      <c r="F2174" s="1446">
        <f>SSR!$E$10</f>
        <v>320</v>
      </c>
      <c r="G2174" s="150" t="s">
        <v>1693</v>
      </c>
      <c r="H2174" s="101">
        <f>ROUND(C2174*F2174,2)</f>
        <v>668.8</v>
      </c>
      <c r="I2174" s="150"/>
    </row>
    <row r="2175" spans="3:9" ht="15" x14ac:dyDescent="0.25">
      <c r="D2175" s="1445"/>
      <c r="E2175" s="166" t="s">
        <v>2135</v>
      </c>
      <c r="F2175" s="375"/>
      <c r="G2175" s="150"/>
      <c r="H2175" s="1444">
        <f>SUM(H2174:H2174)*0.13615</f>
        <v>91.057119999999983</v>
      </c>
      <c r="I2175" s="150"/>
    </row>
    <row r="2176" spans="3:9" ht="15" x14ac:dyDescent="0.25">
      <c r="D2176" s="1445"/>
      <c r="E2176" s="166"/>
      <c r="F2176" s="375"/>
      <c r="G2176" s="150" t="s">
        <v>23</v>
      </c>
      <c r="H2176" s="1447">
        <f>ROUND(SUM(H2173:H2175),1)</f>
        <v>1868</v>
      </c>
      <c r="I2176" s="150"/>
    </row>
    <row r="2177" spans="1:12" ht="15" x14ac:dyDescent="0.25">
      <c r="D2177" s="1445"/>
      <c r="E2177" s="166"/>
      <c r="F2177" s="375"/>
      <c r="G2177" s="150"/>
      <c r="H2177" s="1448"/>
      <c r="I2177" s="150"/>
    </row>
    <row r="2178" spans="1:12" ht="44.25" customHeight="1" x14ac:dyDescent="0.25">
      <c r="C2178" s="2033" t="s">
        <v>1694</v>
      </c>
      <c r="D2178" s="2033"/>
      <c r="E2178" s="2033"/>
      <c r="F2178" s="2033"/>
      <c r="G2178" s="2033"/>
      <c r="H2178" s="375"/>
      <c r="I2178" s="375"/>
    </row>
    <row r="2179" spans="1:12" ht="15" x14ac:dyDescent="0.25">
      <c r="C2179" s="129">
        <v>1</v>
      </c>
      <c r="D2179" s="1445" t="s">
        <v>1695</v>
      </c>
      <c r="E2179" s="166" t="s">
        <v>1696</v>
      </c>
      <c r="F2179" s="1449">
        <v>477</v>
      </c>
      <c r="G2179" s="150" t="s">
        <v>1697</v>
      </c>
      <c r="H2179" s="1448">
        <f>F2179</f>
        <v>477</v>
      </c>
      <c r="I2179" s="150"/>
      <c r="J2179" s="1095" t="s">
        <v>1698</v>
      </c>
    </row>
    <row r="2180" spans="1:12" ht="15" x14ac:dyDescent="0.25">
      <c r="D2180" s="1445"/>
      <c r="E2180" s="166" t="str">
        <f>E2175</f>
        <v>Overheads &amp; cp @13.615%</v>
      </c>
      <c r="F2180" s="375"/>
      <c r="G2180" s="150"/>
      <c r="H2180" s="1448">
        <f>H2179*0.13615</f>
        <v>64.943550000000002</v>
      </c>
      <c r="I2180" s="150"/>
    </row>
    <row r="2181" spans="1:12" ht="15" x14ac:dyDescent="0.25">
      <c r="D2181" s="1445"/>
      <c r="E2181" s="166"/>
      <c r="F2181" s="375"/>
      <c r="G2181" s="209" t="s">
        <v>23</v>
      </c>
      <c r="H2181" s="1450">
        <f>ROUND(SUM(H2179:H2180),1)</f>
        <v>541.9</v>
      </c>
      <c r="I2181" s="150"/>
    </row>
    <row r="2182" spans="1:12" x14ac:dyDescent="0.2">
      <c r="B2182" s="1191"/>
      <c r="C2182" s="129" t="s">
        <v>1065</v>
      </c>
      <c r="J2182" s="1128"/>
      <c r="K2182" s="1128"/>
      <c r="L2182" s="1128"/>
    </row>
    <row r="2183" spans="1:12" x14ac:dyDescent="0.2">
      <c r="B2183" s="1191"/>
      <c r="C2183" s="129" t="s">
        <v>1699</v>
      </c>
      <c r="J2183" s="1128"/>
      <c r="K2183" s="1128"/>
      <c r="L2183" s="1128"/>
    </row>
    <row r="2184" spans="1:12" ht="15" x14ac:dyDescent="0.25">
      <c r="C2184" s="129" t="s">
        <v>1700</v>
      </c>
      <c r="D2184" s="375"/>
      <c r="E2184" s="192"/>
      <c r="F2184" s="90"/>
      <c r="G2184" s="90"/>
      <c r="H2184" s="192"/>
      <c r="I2184" s="209"/>
    </row>
    <row r="2185" spans="1:12" ht="15" x14ac:dyDescent="0.25">
      <c r="C2185" s="129">
        <v>3.9E-2</v>
      </c>
      <c r="D2185" s="375"/>
      <c r="E2185" s="90" t="s">
        <v>1701</v>
      </c>
      <c r="F2185" s="1448">
        <f>H166</f>
        <v>10932.9</v>
      </c>
      <c r="G2185" s="90" t="s">
        <v>1652</v>
      </c>
      <c r="H2185" s="90">
        <f>ROUND(C2185*F2185,2)</f>
        <v>426.38</v>
      </c>
      <c r="I2185" s="90"/>
    </row>
    <row r="2186" spans="1:12" s="1071" customFormat="1" ht="30" x14ac:dyDescent="0.25">
      <c r="A2186" s="1451"/>
      <c r="B2186" s="1452"/>
      <c r="C2186" s="1453">
        <v>0.1</v>
      </c>
      <c r="D2186" s="1454" t="s">
        <v>341</v>
      </c>
      <c r="E2186" s="1455" t="s">
        <v>1702</v>
      </c>
      <c r="F2186" s="1456">
        <f>F2192</f>
        <v>320</v>
      </c>
      <c r="G2186" s="1455" t="s">
        <v>1703</v>
      </c>
      <c r="H2186" s="1457">
        <f>ROUND(C2186*F2186,2)</f>
        <v>32</v>
      </c>
      <c r="I2186" s="1455"/>
    </row>
    <row r="2187" spans="1:12" ht="15" x14ac:dyDescent="0.25">
      <c r="D2187" s="375"/>
      <c r="E2187" s="375" t="s">
        <v>2136</v>
      </c>
      <c r="F2187" s="375"/>
      <c r="G2187" s="375"/>
      <c r="H2187" s="402">
        <f>ROUND(H2186*13.615%,2)</f>
        <v>4.3600000000000003</v>
      </c>
      <c r="I2187" s="375"/>
    </row>
    <row r="2188" spans="1:12" ht="15" x14ac:dyDescent="0.25">
      <c r="D2188" s="375"/>
      <c r="E2188" s="90"/>
      <c r="F2188" s="375"/>
      <c r="G2188" s="407" t="s">
        <v>23</v>
      </c>
      <c r="H2188" s="396">
        <f>ROUND(SUM(H2185:H2187),1)</f>
        <v>462.7</v>
      </c>
      <c r="I2188" s="375"/>
    </row>
    <row r="2189" spans="1:12" ht="15" x14ac:dyDescent="0.25">
      <c r="D2189" s="375"/>
      <c r="E2189" s="166"/>
      <c r="F2189" s="375"/>
      <c r="G2189" s="150"/>
      <c r="H2189" s="1448"/>
      <c r="I2189" s="150"/>
    </row>
    <row r="2190" spans="1:12" ht="69" customHeight="1" x14ac:dyDescent="0.25">
      <c r="C2190" s="2033" t="s">
        <v>2100</v>
      </c>
      <c r="D2190" s="2033"/>
      <c r="E2190" s="2033"/>
      <c r="F2190" s="2033"/>
      <c r="G2190" s="2033"/>
      <c r="H2190" s="375"/>
      <c r="I2190" s="375"/>
    </row>
    <row r="2191" spans="1:12" ht="15" x14ac:dyDescent="0.25">
      <c r="C2191" s="129">
        <v>0.28000000000000003</v>
      </c>
      <c r="D2191" s="375" t="s">
        <v>1012</v>
      </c>
      <c r="E2191" s="90" t="s">
        <v>1692</v>
      </c>
      <c r="F2191" s="1444">
        <f>F2173</f>
        <v>7749.3</v>
      </c>
      <c r="G2191" s="375" t="s">
        <v>1652</v>
      </c>
      <c r="H2191" s="101">
        <f>ROUND(C2191*F2191,2)</f>
        <v>2169.8000000000002</v>
      </c>
      <c r="I2191" s="375"/>
    </row>
    <row r="2192" spans="1:12" ht="15" x14ac:dyDescent="0.25">
      <c r="C2192" s="129">
        <v>4.13</v>
      </c>
      <c r="D2192" s="1445"/>
      <c r="E2192" s="166" t="s">
        <v>1123</v>
      </c>
      <c r="F2192" s="1444">
        <f>H2154</f>
        <v>320</v>
      </c>
      <c r="G2192" s="150" t="s">
        <v>1693</v>
      </c>
      <c r="H2192" s="101">
        <f>ROUND(C2192*F2192,2)</f>
        <v>1321.6</v>
      </c>
      <c r="I2192" s="150"/>
    </row>
    <row r="2193" spans="1:10" ht="15" x14ac:dyDescent="0.25">
      <c r="D2193" s="1445"/>
      <c r="E2193" s="166" t="s">
        <v>2135</v>
      </c>
      <c r="F2193" s="375"/>
      <c r="G2193" s="150"/>
      <c r="H2193" s="1444">
        <f>SUM(H2192:H2192)*0.13615</f>
        <v>179.93583999999998</v>
      </c>
      <c r="I2193" s="150"/>
    </row>
    <row r="2194" spans="1:10" ht="15" x14ac:dyDescent="0.25">
      <c r="D2194" s="1445"/>
      <c r="E2194" s="166"/>
      <c r="F2194" s="375"/>
      <c r="G2194" s="150" t="s">
        <v>23</v>
      </c>
      <c r="H2194" s="1447">
        <f>ROUND(SUM(H2191:H2193),1)</f>
        <v>3671.3</v>
      </c>
      <c r="I2194" s="150"/>
    </row>
    <row r="2195" spans="1:10" x14ac:dyDescent="0.2">
      <c r="D2195" s="155"/>
      <c r="E2195" s="155"/>
      <c r="F2195" s="155"/>
      <c r="G2195" s="155"/>
      <c r="H2195" s="155"/>
      <c r="I2195" s="155"/>
    </row>
    <row r="2196" spans="1:10" s="367" customFormat="1" x14ac:dyDescent="0.2">
      <c r="A2196" s="367" t="s">
        <v>1704</v>
      </c>
      <c r="B2196" s="1458"/>
      <c r="D2196" s="369"/>
      <c r="G2196" s="369"/>
      <c r="I2196" s="370"/>
      <c r="J2196" s="371"/>
    </row>
    <row r="2197" spans="1:10" s="367" customFormat="1" x14ac:dyDescent="0.2">
      <c r="A2197" s="367" t="s">
        <v>1705</v>
      </c>
      <c r="B2197" s="1458"/>
      <c r="D2197" s="369"/>
      <c r="G2197" s="369"/>
      <c r="I2197" s="369"/>
      <c r="J2197" s="371"/>
    </row>
    <row r="2198" spans="1:10" s="367" customFormat="1" x14ac:dyDescent="0.2">
      <c r="B2198" s="368"/>
      <c r="C2198" s="369"/>
      <c r="D2198" s="369"/>
      <c r="E2198" s="372"/>
      <c r="F2198" s="372"/>
      <c r="G2198" s="372"/>
      <c r="H2198" s="372"/>
      <c r="I2198" s="373"/>
      <c r="J2198" s="371"/>
    </row>
    <row r="2199" spans="1:10" s="367" customFormat="1" x14ac:dyDescent="0.2">
      <c r="B2199" s="368"/>
      <c r="C2199" s="369"/>
      <c r="D2199" s="369"/>
      <c r="E2199" s="369"/>
      <c r="F2199" s="369"/>
      <c r="G2199" s="369"/>
      <c r="H2199" s="369"/>
      <c r="I2199" s="369"/>
      <c r="J2199" s="371"/>
    </row>
    <row r="2200" spans="1:10" s="367" customFormat="1" x14ac:dyDescent="0.2">
      <c r="B2200" s="374"/>
      <c r="C2200" s="369"/>
      <c r="D2200" s="369"/>
      <c r="E2200" s="372"/>
      <c r="F2200" s="372"/>
      <c r="G2200" s="368"/>
      <c r="H2200" s="372"/>
      <c r="I2200" s="369"/>
      <c r="J2200" s="371"/>
    </row>
    <row r="2201" spans="1:10" s="367" customFormat="1" x14ac:dyDescent="0.2">
      <c r="B2201" s="368"/>
      <c r="C2201" s="369"/>
      <c r="D2201" s="369"/>
      <c r="E2201" s="372"/>
      <c r="F2201" s="372"/>
      <c r="G2201" s="368"/>
      <c r="H2201" s="372"/>
      <c r="I2201" s="369"/>
      <c r="J2201" s="371"/>
    </row>
    <row r="2202" spans="1:10" x14ac:dyDescent="0.2">
      <c r="D2202" s="155"/>
      <c r="E2202" s="155"/>
      <c r="F2202" s="155"/>
      <c r="G2202" s="155"/>
      <c r="H2202" s="155"/>
      <c r="I2202" s="155"/>
    </row>
    <row r="2203" spans="1:10" x14ac:dyDescent="0.2">
      <c r="D2203" s="155"/>
      <c r="E2203" s="155"/>
      <c r="F2203" s="155"/>
      <c r="G2203" s="155"/>
      <c r="H2203" s="155"/>
      <c r="I2203" s="155"/>
    </row>
    <row r="2204" spans="1:10" x14ac:dyDescent="0.2">
      <c r="D2204" s="155"/>
      <c r="E2204" s="155"/>
      <c r="F2204" s="155"/>
      <c r="G2204" s="155"/>
      <c r="H2204" s="155"/>
      <c r="I2204" s="155"/>
    </row>
    <row r="2205" spans="1:10" x14ac:dyDescent="0.2">
      <c r="D2205" s="155"/>
      <c r="E2205" s="155"/>
      <c r="F2205" s="155"/>
      <c r="G2205" s="155"/>
      <c r="H2205" s="155"/>
      <c r="I2205" s="155"/>
    </row>
    <row r="2206" spans="1:10" x14ac:dyDescent="0.2">
      <c r="D2206" s="155"/>
      <c r="E2206" s="155"/>
      <c r="F2206" s="155"/>
      <c r="G2206" s="155"/>
      <c r="H2206" s="155"/>
      <c r="I2206" s="155"/>
    </row>
    <row r="2207" spans="1:10" x14ac:dyDescent="0.2">
      <c r="D2207" s="155"/>
      <c r="E2207" s="155"/>
      <c r="F2207" s="155"/>
      <c r="G2207" s="155"/>
      <c r="H2207" s="155"/>
      <c r="I2207" s="155"/>
    </row>
    <row r="2208" spans="1:10" x14ac:dyDescent="0.2">
      <c r="D2208" s="155"/>
      <c r="E2208" s="155"/>
      <c r="F2208" s="155"/>
      <c r="G2208" s="155"/>
      <c r="H2208" s="155"/>
      <c r="I2208" s="155"/>
    </row>
    <row r="2209" spans="4:9" x14ac:dyDescent="0.2">
      <c r="D2209" s="155"/>
      <c r="E2209" s="155"/>
      <c r="F2209" s="155"/>
      <c r="G2209" s="155"/>
      <c r="H2209" s="155"/>
      <c r="I2209" s="155"/>
    </row>
  </sheetData>
  <mergeCells count="120">
    <mergeCell ref="B1:I1"/>
    <mergeCell ref="B3:I3"/>
    <mergeCell ref="C7:G7"/>
    <mergeCell ref="C141:I141"/>
    <mergeCell ref="C151:I151"/>
    <mergeCell ref="C161:D161"/>
    <mergeCell ref="C168:D168"/>
    <mergeCell ref="C169:D169"/>
    <mergeCell ref="C170:D170"/>
    <mergeCell ref="E329:H329"/>
    <mergeCell ref="C335:I335"/>
    <mergeCell ref="C360:K360"/>
    <mergeCell ref="C162:D162"/>
    <mergeCell ref="C163:D163"/>
    <mergeCell ref="C164:D164"/>
    <mergeCell ref="C165:D165"/>
    <mergeCell ref="C166:D166"/>
    <mergeCell ref="C167:D167"/>
    <mergeCell ref="C456:I456"/>
    <mergeCell ref="C464:H464"/>
    <mergeCell ref="C479:I479"/>
    <mergeCell ref="C487:I487"/>
    <mergeCell ref="C495:I495"/>
    <mergeCell ref="C503:I503"/>
    <mergeCell ref="C375:I375"/>
    <mergeCell ref="C416:I416"/>
    <mergeCell ref="J416:K416"/>
    <mergeCell ref="C425:I425"/>
    <mergeCell ref="J425:K425"/>
    <mergeCell ref="C433:I433"/>
    <mergeCell ref="J433:K433"/>
    <mergeCell ref="C606:I606"/>
    <mergeCell ref="J606:K606"/>
    <mergeCell ref="C614:I614"/>
    <mergeCell ref="C623:I623"/>
    <mergeCell ref="J623:K623"/>
    <mergeCell ref="C637:I637"/>
    <mergeCell ref="C511:H511"/>
    <mergeCell ref="C541:H541"/>
    <mergeCell ref="C549:I549"/>
    <mergeCell ref="C557:H557"/>
    <mergeCell ref="C589:H589"/>
    <mergeCell ref="C597:H597"/>
    <mergeCell ref="C718:I718"/>
    <mergeCell ref="C728:I728"/>
    <mergeCell ref="C738:I738"/>
    <mergeCell ref="C770:I770"/>
    <mergeCell ref="C800:I800"/>
    <mergeCell ref="C645:I645"/>
    <mergeCell ref="C653:I653"/>
    <mergeCell ref="C663:I663"/>
    <mergeCell ref="C681:I681"/>
    <mergeCell ref="C692:I692"/>
    <mergeCell ref="C701:I701"/>
    <mergeCell ref="G745:G746"/>
    <mergeCell ref="C830:I830"/>
    <mergeCell ref="C860:I860"/>
    <mergeCell ref="C890:I890"/>
    <mergeCell ref="C920:I920"/>
    <mergeCell ref="J988:K988"/>
    <mergeCell ref="C998:I998"/>
    <mergeCell ref="C1008:I1008"/>
    <mergeCell ref="C1041:I1041"/>
    <mergeCell ref="C1059:I1059"/>
    <mergeCell ref="C1069:I1069"/>
    <mergeCell ref="C950:I950"/>
    <mergeCell ref="C960:I960"/>
    <mergeCell ref="C970:I970"/>
    <mergeCell ref="C979:I979"/>
    <mergeCell ref="C988:I988"/>
    <mergeCell ref="C1173:I1173"/>
    <mergeCell ref="C1183:I1183"/>
    <mergeCell ref="C1193:I1193"/>
    <mergeCell ref="C1203:I1203"/>
    <mergeCell ref="C1213:I1213"/>
    <mergeCell ref="C1223:I1223"/>
    <mergeCell ref="C1078:I1078"/>
    <mergeCell ref="C1087:I1087"/>
    <mergeCell ref="C1097:I1097"/>
    <mergeCell ref="C1108:I1108"/>
    <mergeCell ref="C1126:I1126"/>
    <mergeCell ref="C1136:I1136"/>
    <mergeCell ref="B1721:B1724"/>
    <mergeCell ref="D1766:E1766"/>
    <mergeCell ref="C1353:I1353"/>
    <mergeCell ref="C1372:I1372"/>
    <mergeCell ref="B1382:B1384"/>
    <mergeCell ref="D1458:F1458"/>
    <mergeCell ref="B1463:B1467"/>
    <mergeCell ref="D1544:F1544"/>
    <mergeCell ref="C1233:I1233"/>
    <mergeCell ref="C1243:I1243"/>
    <mergeCell ref="C1253:I1253"/>
    <mergeCell ref="C1273:I1273"/>
    <mergeCell ref="C1313:I1313"/>
    <mergeCell ref="C1333:I1333"/>
    <mergeCell ref="C2172:G2172"/>
    <mergeCell ref="C2190:G2190"/>
    <mergeCell ref="C2178:G2178"/>
    <mergeCell ref="C171:D171"/>
    <mergeCell ref="C172:D172"/>
    <mergeCell ref="B2122:B2123"/>
    <mergeCell ref="D2166:E2166"/>
    <mergeCell ref="D2170:E2170"/>
    <mergeCell ref="D1986:F1986"/>
    <mergeCell ref="B1991:B1994"/>
    <mergeCell ref="D2042:F2042"/>
    <mergeCell ref="B2063:C2063"/>
    <mergeCell ref="B2077:B2080"/>
    <mergeCell ref="D2118:F2118"/>
    <mergeCell ref="B1770:B1773"/>
    <mergeCell ref="D1810:F1810"/>
    <mergeCell ref="B1815:B1816"/>
    <mergeCell ref="D1876:F1876"/>
    <mergeCell ref="D1925:F1925"/>
    <mergeCell ref="B1929:B1932"/>
    <mergeCell ref="B1549:B1552"/>
    <mergeCell ref="D1597:F1597"/>
    <mergeCell ref="B1601:B1604"/>
    <mergeCell ref="D1717:F1717"/>
  </mergeCells>
  <dataValidations count="1">
    <dataValidation type="custom" errorStyle="information" showInputMessage="1" showErrorMessage="1" errorTitle="Municipal allowance" error="Enter Munical allowance" promptTitle="M.A" prompt="Municipal allowance" sqref="I65556 JE65556 TA65556 ACW65556 AMS65556 AWO65556 BGK65556 BQG65556 CAC65556 CJY65556 CTU65556 DDQ65556 DNM65556 DXI65556 EHE65556 ERA65556 FAW65556 FKS65556 FUO65556 GEK65556 GOG65556 GYC65556 HHY65556 HRU65556 IBQ65556 ILM65556 IVI65556 JFE65556 JPA65556 JYW65556 KIS65556 KSO65556 LCK65556 LMG65556 LWC65556 MFY65556 MPU65556 MZQ65556 NJM65556 NTI65556 ODE65556 ONA65556 OWW65556 PGS65556 PQO65556 QAK65556 QKG65556 QUC65556 RDY65556 RNU65556 RXQ65556 SHM65556 SRI65556 TBE65556 TLA65556 TUW65556 UES65556 UOO65556 UYK65556 VIG65556 VSC65556 WBY65556 WLU65556 WVQ65556 I131092 JE131092 TA131092 ACW131092 AMS131092 AWO131092 BGK131092 BQG131092 CAC131092 CJY131092 CTU131092 DDQ131092 DNM131092 DXI131092 EHE131092 ERA131092 FAW131092 FKS131092 FUO131092 GEK131092 GOG131092 GYC131092 HHY131092 HRU131092 IBQ131092 ILM131092 IVI131092 JFE131092 JPA131092 JYW131092 KIS131092 KSO131092 LCK131092 LMG131092 LWC131092 MFY131092 MPU131092 MZQ131092 NJM131092 NTI131092 ODE131092 ONA131092 OWW131092 PGS131092 PQO131092 QAK131092 QKG131092 QUC131092 RDY131092 RNU131092 RXQ131092 SHM131092 SRI131092 TBE131092 TLA131092 TUW131092 UES131092 UOO131092 UYK131092 VIG131092 VSC131092 WBY131092 WLU131092 WVQ131092 I196628 JE196628 TA196628 ACW196628 AMS196628 AWO196628 BGK196628 BQG196628 CAC196628 CJY196628 CTU196628 DDQ196628 DNM196628 DXI196628 EHE196628 ERA196628 FAW196628 FKS196628 FUO196628 GEK196628 GOG196628 GYC196628 HHY196628 HRU196628 IBQ196628 ILM196628 IVI196628 JFE196628 JPA196628 JYW196628 KIS196628 KSO196628 LCK196628 LMG196628 LWC196628 MFY196628 MPU196628 MZQ196628 NJM196628 NTI196628 ODE196628 ONA196628 OWW196628 PGS196628 PQO196628 QAK196628 QKG196628 QUC196628 RDY196628 RNU196628 RXQ196628 SHM196628 SRI196628 TBE196628 TLA196628 TUW196628 UES196628 UOO196628 UYK196628 VIG196628 VSC196628 WBY196628 WLU196628 WVQ196628 I262164 JE262164 TA262164 ACW262164 AMS262164 AWO262164 BGK262164 BQG262164 CAC262164 CJY262164 CTU262164 DDQ262164 DNM262164 DXI262164 EHE262164 ERA262164 FAW262164 FKS262164 FUO262164 GEK262164 GOG262164 GYC262164 HHY262164 HRU262164 IBQ262164 ILM262164 IVI262164 JFE262164 JPA262164 JYW262164 KIS262164 KSO262164 LCK262164 LMG262164 LWC262164 MFY262164 MPU262164 MZQ262164 NJM262164 NTI262164 ODE262164 ONA262164 OWW262164 PGS262164 PQO262164 QAK262164 QKG262164 QUC262164 RDY262164 RNU262164 RXQ262164 SHM262164 SRI262164 TBE262164 TLA262164 TUW262164 UES262164 UOO262164 UYK262164 VIG262164 VSC262164 WBY262164 WLU262164 WVQ262164 I327700 JE327700 TA327700 ACW327700 AMS327700 AWO327700 BGK327700 BQG327700 CAC327700 CJY327700 CTU327700 DDQ327700 DNM327700 DXI327700 EHE327700 ERA327700 FAW327700 FKS327700 FUO327700 GEK327700 GOG327700 GYC327700 HHY327700 HRU327700 IBQ327700 ILM327700 IVI327700 JFE327700 JPA327700 JYW327700 KIS327700 KSO327700 LCK327700 LMG327700 LWC327700 MFY327700 MPU327700 MZQ327700 NJM327700 NTI327700 ODE327700 ONA327700 OWW327700 PGS327700 PQO327700 QAK327700 QKG327700 QUC327700 RDY327700 RNU327700 RXQ327700 SHM327700 SRI327700 TBE327700 TLA327700 TUW327700 UES327700 UOO327700 UYK327700 VIG327700 VSC327700 WBY327700 WLU327700 WVQ327700 I393236 JE393236 TA393236 ACW393236 AMS393236 AWO393236 BGK393236 BQG393236 CAC393236 CJY393236 CTU393236 DDQ393236 DNM393236 DXI393236 EHE393236 ERA393236 FAW393236 FKS393236 FUO393236 GEK393236 GOG393236 GYC393236 HHY393236 HRU393236 IBQ393236 ILM393236 IVI393236 JFE393236 JPA393236 JYW393236 KIS393236 KSO393236 LCK393236 LMG393236 LWC393236 MFY393236 MPU393236 MZQ393236 NJM393236 NTI393236 ODE393236 ONA393236 OWW393236 PGS393236 PQO393236 QAK393236 QKG393236 QUC393236 RDY393236 RNU393236 RXQ393236 SHM393236 SRI393236 TBE393236 TLA393236 TUW393236 UES393236 UOO393236 UYK393236 VIG393236 VSC393236 WBY393236 WLU393236 WVQ393236 I458772 JE458772 TA458772 ACW458772 AMS458772 AWO458772 BGK458772 BQG458772 CAC458772 CJY458772 CTU458772 DDQ458772 DNM458772 DXI458772 EHE458772 ERA458772 FAW458772 FKS458772 FUO458772 GEK458772 GOG458772 GYC458772 HHY458772 HRU458772 IBQ458772 ILM458772 IVI458772 JFE458772 JPA458772 JYW458772 KIS458772 KSO458772 LCK458772 LMG458772 LWC458772 MFY458772 MPU458772 MZQ458772 NJM458772 NTI458772 ODE458772 ONA458772 OWW458772 PGS458772 PQO458772 QAK458772 QKG458772 QUC458772 RDY458772 RNU458772 RXQ458772 SHM458772 SRI458772 TBE458772 TLA458772 TUW458772 UES458772 UOO458772 UYK458772 VIG458772 VSC458772 WBY458772 WLU458772 WVQ458772 I524308 JE524308 TA524308 ACW524308 AMS524308 AWO524308 BGK524308 BQG524308 CAC524308 CJY524308 CTU524308 DDQ524308 DNM524308 DXI524308 EHE524308 ERA524308 FAW524308 FKS524308 FUO524308 GEK524308 GOG524308 GYC524308 HHY524308 HRU524308 IBQ524308 ILM524308 IVI524308 JFE524308 JPA524308 JYW524308 KIS524308 KSO524308 LCK524308 LMG524308 LWC524308 MFY524308 MPU524308 MZQ524308 NJM524308 NTI524308 ODE524308 ONA524308 OWW524308 PGS524308 PQO524308 QAK524308 QKG524308 QUC524308 RDY524308 RNU524308 RXQ524308 SHM524308 SRI524308 TBE524308 TLA524308 TUW524308 UES524308 UOO524308 UYK524308 VIG524308 VSC524308 WBY524308 WLU524308 WVQ524308 I589844 JE589844 TA589844 ACW589844 AMS589844 AWO589844 BGK589844 BQG589844 CAC589844 CJY589844 CTU589844 DDQ589844 DNM589844 DXI589844 EHE589844 ERA589844 FAW589844 FKS589844 FUO589844 GEK589844 GOG589844 GYC589844 HHY589844 HRU589844 IBQ589844 ILM589844 IVI589844 JFE589844 JPA589844 JYW589844 KIS589844 KSO589844 LCK589844 LMG589844 LWC589844 MFY589844 MPU589844 MZQ589844 NJM589844 NTI589844 ODE589844 ONA589844 OWW589844 PGS589844 PQO589844 QAK589844 QKG589844 QUC589844 RDY589844 RNU589844 RXQ589844 SHM589844 SRI589844 TBE589844 TLA589844 TUW589844 UES589844 UOO589844 UYK589844 VIG589844 VSC589844 WBY589844 WLU589844 WVQ589844 I655380 JE655380 TA655380 ACW655380 AMS655380 AWO655380 BGK655380 BQG655380 CAC655380 CJY655380 CTU655380 DDQ655380 DNM655380 DXI655380 EHE655380 ERA655380 FAW655380 FKS655380 FUO655380 GEK655380 GOG655380 GYC655380 HHY655380 HRU655380 IBQ655380 ILM655380 IVI655380 JFE655380 JPA655380 JYW655380 KIS655380 KSO655380 LCK655380 LMG655380 LWC655380 MFY655380 MPU655380 MZQ655380 NJM655380 NTI655380 ODE655380 ONA655380 OWW655380 PGS655380 PQO655380 QAK655380 QKG655380 QUC655380 RDY655380 RNU655380 RXQ655380 SHM655380 SRI655380 TBE655380 TLA655380 TUW655380 UES655380 UOO655380 UYK655380 VIG655380 VSC655380 WBY655380 WLU655380 WVQ655380 I720916 JE720916 TA720916 ACW720916 AMS720916 AWO720916 BGK720916 BQG720916 CAC720916 CJY720916 CTU720916 DDQ720916 DNM720916 DXI720916 EHE720916 ERA720916 FAW720916 FKS720916 FUO720916 GEK720916 GOG720916 GYC720916 HHY720916 HRU720916 IBQ720916 ILM720916 IVI720916 JFE720916 JPA720916 JYW720916 KIS720916 KSO720916 LCK720916 LMG720916 LWC720916 MFY720916 MPU720916 MZQ720916 NJM720916 NTI720916 ODE720916 ONA720916 OWW720916 PGS720916 PQO720916 QAK720916 QKG720916 QUC720916 RDY720916 RNU720916 RXQ720916 SHM720916 SRI720916 TBE720916 TLA720916 TUW720916 UES720916 UOO720916 UYK720916 VIG720916 VSC720916 WBY720916 WLU720916 WVQ720916 I786452 JE786452 TA786452 ACW786452 AMS786452 AWO786452 BGK786452 BQG786452 CAC786452 CJY786452 CTU786452 DDQ786452 DNM786452 DXI786452 EHE786452 ERA786452 FAW786452 FKS786452 FUO786452 GEK786452 GOG786452 GYC786452 HHY786452 HRU786452 IBQ786452 ILM786452 IVI786452 JFE786452 JPA786452 JYW786452 KIS786452 KSO786452 LCK786452 LMG786452 LWC786452 MFY786452 MPU786452 MZQ786452 NJM786452 NTI786452 ODE786452 ONA786452 OWW786452 PGS786452 PQO786452 QAK786452 QKG786452 QUC786452 RDY786452 RNU786452 RXQ786452 SHM786452 SRI786452 TBE786452 TLA786452 TUW786452 UES786452 UOO786452 UYK786452 VIG786452 VSC786452 WBY786452 WLU786452 WVQ786452 I851988 JE851988 TA851988 ACW851988 AMS851988 AWO851988 BGK851988 BQG851988 CAC851988 CJY851988 CTU851988 DDQ851988 DNM851988 DXI851988 EHE851988 ERA851988 FAW851988 FKS851988 FUO851988 GEK851988 GOG851988 GYC851988 HHY851988 HRU851988 IBQ851988 ILM851988 IVI851988 JFE851988 JPA851988 JYW851988 KIS851988 KSO851988 LCK851988 LMG851988 LWC851988 MFY851988 MPU851988 MZQ851988 NJM851988 NTI851988 ODE851988 ONA851988 OWW851988 PGS851988 PQO851988 QAK851988 QKG851988 QUC851988 RDY851988 RNU851988 RXQ851988 SHM851988 SRI851988 TBE851988 TLA851988 TUW851988 UES851988 UOO851988 UYK851988 VIG851988 VSC851988 WBY851988 WLU851988 WVQ851988 I917524 JE917524 TA917524 ACW917524 AMS917524 AWO917524 BGK917524 BQG917524 CAC917524 CJY917524 CTU917524 DDQ917524 DNM917524 DXI917524 EHE917524 ERA917524 FAW917524 FKS917524 FUO917524 GEK917524 GOG917524 GYC917524 HHY917524 HRU917524 IBQ917524 ILM917524 IVI917524 JFE917524 JPA917524 JYW917524 KIS917524 KSO917524 LCK917524 LMG917524 LWC917524 MFY917524 MPU917524 MZQ917524 NJM917524 NTI917524 ODE917524 ONA917524 OWW917524 PGS917524 PQO917524 QAK917524 QKG917524 QUC917524 RDY917524 RNU917524 RXQ917524 SHM917524 SRI917524 TBE917524 TLA917524 TUW917524 UES917524 UOO917524 UYK917524 VIG917524 VSC917524 WBY917524 WLU917524 WVQ917524 I983060 JE983060 TA983060 ACW983060 AMS983060 AWO983060 BGK983060 BQG983060 CAC983060 CJY983060 CTU983060 DDQ983060 DNM983060 DXI983060 EHE983060 ERA983060 FAW983060 FKS983060 FUO983060 GEK983060 GOG983060 GYC983060 HHY983060 HRU983060 IBQ983060 ILM983060 IVI983060 JFE983060 JPA983060 JYW983060 KIS983060 KSO983060 LCK983060 LMG983060 LWC983060 MFY983060 MPU983060 MZQ983060 NJM983060 NTI983060 ODE983060 ONA983060 OWW983060 PGS983060 PQO983060 QAK983060 QKG983060 QUC983060 RDY983060 RNU983060 RXQ983060 SHM983060 SRI983060 TBE983060 TLA983060 TUW983060 UES983060 UOO983060 UYK983060 VIG983060 VSC983060 WBY983060 WLU983060 WVQ983060 I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WVQ4">
      <formula1>"if(P3&gt;0,I3=20%,0)"</formula1>
    </dataValidation>
  </dataValidations>
  <pageMargins left="0.7" right="0.7" top="0.75" bottom="0.75" header="0.3" footer="0.3"/>
  <pageSetup paperSize="9" scale="91" orientation="portrait"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74"/>
  <sheetViews>
    <sheetView workbookViewId="0">
      <selection activeCell="H8" sqref="H8"/>
    </sheetView>
  </sheetViews>
  <sheetFormatPr defaultColWidth="9.140625" defaultRowHeight="13.5" x14ac:dyDescent="0.25"/>
  <cols>
    <col min="1" max="1" width="9.140625" style="1676"/>
    <col min="2" max="6" width="9.140625" style="1677"/>
    <col min="7" max="7" width="9.140625" style="1678"/>
    <col min="8" max="8" width="11.85546875" style="1679" customWidth="1"/>
    <col min="9" max="16384" width="9.140625" style="1677"/>
  </cols>
  <sheetData>
    <row r="2" spans="1:11" ht="14.25" x14ac:dyDescent="0.25">
      <c r="A2" s="2077" t="s">
        <v>1962</v>
      </c>
      <c r="B2" s="2078"/>
      <c r="C2" s="2078"/>
      <c r="D2" s="2078"/>
      <c r="E2" s="2078"/>
      <c r="F2" s="2078"/>
      <c r="G2" s="2078"/>
      <c r="H2" s="2078"/>
      <c r="I2" s="2078"/>
      <c r="J2" s="1680"/>
      <c r="K2" s="1680"/>
    </row>
    <row r="3" spans="1:11" x14ac:dyDescent="0.25">
      <c r="A3" s="1681"/>
      <c r="B3" s="1682"/>
      <c r="C3" s="1682"/>
      <c r="D3" s="1682"/>
      <c r="E3" s="1682"/>
      <c r="F3" s="1682"/>
      <c r="G3" s="1683"/>
      <c r="H3" s="1684"/>
      <c r="I3" s="1682"/>
    </row>
    <row r="4" spans="1:11" ht="15" x14ac:dyDescent="0.25">
      <c r="A4" s="2079" t="s">
        <v>2021</v>
      </c>
      <c r="B4" s="2080"/>
      <c r="C4" s="2080"/>
      <c r="D4" s="2080"/>
      <c r="E4" s="2080"/>
      <c r="F4" s="2080"/>
      <c r="G4" s="2080"/>
      <c r="H4" s="2080"/>
      <c r="I4" s="2080"/>
      <c r="J4" s="1685"/>
      <c r="K4" s="1686"/>
    </row>
    <row r="5" spans="1:11" x14ac:dyDescent="0.25">
      <c r="A5" s="1681"/>
      <c r="B5" s="1687"/>
      <c r="C5" s="1681"/>
      <c r="D5" s="1681"/>
      <c r="E5" s="1681"/>
      <c r="F5" s="1681"/>
      <c r="G5" s="1681"/>
      <c r="H5" s="1678"/>
      <c r="I5" s="1684"/>
      <c r="J5" s="1678"/>
    </row>
    <row r="6" spans="1:11" x14ac:dyDescent="0.25">
      <c r="A6" s="1681"/>
      <c r="B6" s="1683"/>
      <c r="C6" s="1683"/>
      <c r="D6" s="1683"/>
      <c r="E6" s="1683"/>
      <c r="F6" s="1683"/>
      <c r="G6" s="1683"/>
      <c r="H6" s="1683"/>
      <c r="J6" s="1683"/>
    </row>
    <row r="7" spans="1:11" ht="15" x14ac:dyDescent="0.25">
      <c r="A7" s="1681">
        <v>1</v>
      </c>
      <c r="B7" s="1688" t="s">
        <v>1963</v>
      </c>
      <c r="C7" s="1689"/>
      <c r="D7" s="1689"/>
      <c r="E7" s="1689"/>
      <c r="F7" s="1689"/>
      <c r="G7" s="1690" t="s">
        <v>1964</v>
      </c>
      <c r="H7" s="1691">
        <v>100</v>
      </c>
      <c r="I7" s="1689"/>
      <c r="J7" s="1692"/>
      <c r="K7" s="1689"/>
    </row>
    <row r="8" spans="1:11" ht="15" x14ac:dyDescent="0.25">
      <c r="A8" s="1681">
        <v>2</v>
      </c>
      <c r="B8" s="1688" t="s">
        <v>2154</v>
      </c>
      <c r="C8" s="1688"/>
      <c r="D8" s="1689"/>
      <c r="E8" s="1689"/>
      <c r="F8" s="1689"/>
      <c r="G8" s="1690" t="s">
        <v>1964</v>
      </c>
      <c r="H8" s="1693">
        <v>100000</v>
      </c>
      <c r="I8" s="1689"/>
      <c r="J8" s="1694"/>
      <c r="K8" s="1689"/>
    </row>
    <row r="9" spans="1:11" x14ac:dyDescent="0.25">
      <c r="A9" s="1681">
        <v>3</v>
      </c>
      <c r="B9" s="1688" t="s">
        <v>2155</v>
      </c>
      <c r="C9" s="1689"/>
      <c r="D9" s="1689"/>
      <c r="E9" s="1689"/>
      <c r="F9" s="1689"/>
      <c r="G9" s="1690" t="s">
        <v>1964</v>
      </c>
      <c r="H9" s="1695">
        <f>H8*1.01^6</f>
        <v>106152.01506010002</v>
      </c>
      <c r="I9" s="1696"/>
      <c r="J9" s="1697"/>
      <c r="K9" s="1696"/>
    </row>
    <row r="10" spans="1:11" x14ac:dyDescent="0.25">
      <c r="A10" s="1681">
        <v>4</v>
      </c>
      <c r="B10" s="1688" t="s">
        <v>2156</v>
      </c>
      <c r="C10" s="1689"/>
      <c r="D10" s="1689"/>
      <c r="E10" s="1689"/>
      <c r="F10" s="1689"/>
      <c r="G10" s="1690" t="s">
        <v>1964</v>
      </c>
      <c r="H10" s="1695">
        <f>H9*1.01^10</f>
        <v>117257.8644923699</v>
      </c>
      <c r="I10" s="1696"/>
      <c r="J10" s="1697"/>
      <c r="K10" s="1696"/>
    </row>
    <row r="11" spans="1:11" x14ac:dyDescent="0.25">
      <c r="A11" s="1681">
        <v>5</v>
      </c>
      <c r="B11" s="1688" t="s">
        <v>2157</v>
      </c>
      <c r="C11" s="1689"/>
      <c r="D11" s="1689"/>
      <c r="E11" s="1689"/>
      <c r="F11" s="1689"/>
      <c r="G11" s="1690" t="s">
        <v>1964</v>
      </c>
      <c r="H11" s="1695">
        <f>H10*1.01^10</f>
        <v>129525.63149674068</v>
      </c>
      <c r="I11" s="1696"/>
      <c r="J11" s="1697"/>
      <c r="K11" s="1696"/>
    </row>
    <row r="12" spans="1:11" x14ac:dyDescent="0.25">
      <c r="A12" s="1681">
        <v>6</v>
      </c>
      <c r="B12" s="1688" t="s">
        <v>1965</v>
      </c>
      <c r="C12" s="1689"/>
      <c r="D12" s="1689"/>
      <c r="E12" s="1689"/>
      <c r="F12" s="1689"/>
      <c r="G12" s="1690" t="s">
        <v>1964</v>
      </c>
      <c r="H12" s="1698">
        <v>70</v>
      </c>
      <c r="I12" s="1692" t="s">
        <v>1966</v>
      </c>
      <c r="J12" s="1692"/>
      <c r="K12" s="1692"/>
    </row>
    <row r="13" spans="1:11" x14ac:dyDescent="0.25">
      <c r="A13" s="1681">
        <v>7</v>
      </c>
      <c r="B13" s="1688" t="s">
        <v>1967</v>
      </c>
      <c r="C13" s="1688"/>
      <c r="D13" s="1688"/>
      <c r="E13" s="1688"/>
      <c r="F13" s="1688"/>
      <c r="G13" s="1699" t="str">
        <f>G12</f>
        <v>::</v>
      </c>
      <c r="H13" s="1698">
        <v>80</v>
      </c>
      <c r="I13" s="1692" t="s">
        <v>1966</v>
      </c>
      <c r="J13" s="1692"/>
      <c r="K13" s="1692"/>
    </row>
    <row r="14" spans="1:11" x14ac:dyDescent="0.25">
      <c r="A14" s="1681">
        <v>8</v>
      </c>
      <c r="B14" s="1688" t="s">
        <v>1968</v>
      </c>
      <c r="C14" s="1688"/>
      <c r="D14" s="1688"/>
      <c r="E14" s="1688"/>
      <c r="F14" s="1688"/>
      <c r="G14" s="1699" t="s">
        <v>1964</v>
      </c>
      <c r="H14" s="1695">
        <f>H10*H12</f>
        <v>8208050.5144658936</v>
      </c>
      <c r="I14" s="1692" t="s">
        <v>1969</v>
      </c>
      <c r="J14" s="1697"/>
      <c r="K14" s="1692"/>
    </row>
    <row r="15" spans="1:11" x14ac:dyDescent="0.25">
      <c r="A15" s="1681">
        <v>9</v>
      </c>
      <c r="B15" s="1688" t="s">
        <v>1970</v>
      </c>
      <c r="C15" s="1688"/>
      <c r="D15" s="1688"/>
      <c r="E15" s="1688"/>
      <c r="F15" s="1688"/>
      <c r="G15" s="1699" t="s">
        <v>1964</v>
      </c>
      <c r="H15" s="1695">
        <f>H10*H13</f>
        <v>9380629.1593895927</v>
      </c>
      <c r="I15" s="1692" t="s">
        <v>1969</v>
      </c>
      <c r="J15" s="1697"/>
      <c r="K15" s="1692"/>
    </row>
    <row r="16" spans="1:11" x14ac:dyDescent="0.25">
      <c r="A16" s="1681">
        <v>10</v>
      </c>
      <c r="B16" s="1688" t="s">
        <v>1971</v>
      </c>
      <c r="C16" s="1688"/>
      <c r="D16" s="1688"/>
      <c r="E16" s="1688"/>
      <c r="F16" s="1688"/>
      <c r="G16" s="1699" t="s">
        <v>1964</v>
      </c>
      <c r="H16" s="1695">
        <f>H14/960</f>
        <v>8550.0526192353063</v>
      </c>
      <c r="I16" s="1692" t="s">
        <v>33</v>
      </c>
      <c r="J16" s="1700">
        <f>H10*55/960</f>
        <v>6717.8984865420252</v>
      </c>
      <c r="K16" s="1692" t="s">
        <v>1972</v>
      </c>
    </row>
    <row r="17" spans="1:13" x14ac:dyDescent="0.25">
      <c r="A17" s="1681">
        <v>11</v>
      </c>
      <c r="B17" s="1688" t="s">
        <v>1973</v>
      </c>
      <c r="C17" s="1688"/>
      <c r="D17" s="1688"/>
      <c r="E17" s="1688"/>
      <c r="F17" s="1688"/>
      <c r="G17" s="1699" t="s">
        <v>1964</v>
      </c>
      <c r="H17" s="1695">
        <f>H15/960</f>
        <v>9771.4887076974919</v>
      </c>
      <c r="I17" s="1692" t="s">
        <v>33</v>
      </c>
      <c r="J17" s="1697"/>
      <c r="K17" s="1692"/>
    </row>
    <row r="18" spans="1:13" x14ac:dyDescent="0.25">
      <c r="A18" s="1681">
        <v>12</v>
      </c>
      <c r="B18" s="1688" t="s">
        <v>1974</v>
      </c>
      <c r="C18" s="1688"/>
      <c r="D18" s="1688"/>
      <c r="E18" s="1688"/>
      <c r="F18" s="1688"/>
      <c r="G18" s="1699" t="s">
        <v>1964</v>
      </c>
      <c r="H18" s="1695">
        <f>H11*H12</f>
        <v>9066794.2047718484</v>
      </c>
      <c r="I18" s="1692" t="s">
        <v>1969</v>
      </c>
      <c r="J18" s="1697"/>
      <c r="K18" s="1692"/>
    </row>
    <row r="19" spans="1:13" x14ac:dyDescent="0.25">
      <c r="A19" s="1681">
        <v>13</v>
      </c>
      <c r="B19" s="1688" t="s">
        <v>1975</v>
      </c>
      <c r="C19" s="1688"/>
      <c r="D19" s="1688"/>
      <c r="E19" s="1688"/>
      <c r="F19" s="1688"/>
      <c r="G19" s="1699" t="s">
        <v>1964</v>
      </c>
      <c r="H19" s="1695">
        <f>H11*H13</f>
        <v>10362050.519739255</v>
      </c>
      <c r="I19" s="1692" t="s">
        <v>1969</v>
      </c>
      <c r="J19" s="1697"/>
      <c r="K19" s="1692"/>
      <c r="M19" s="1701"/>
    </row>
    <row r="20" spans="1:13" x14ac:dyDescent="0.25">
      <c r="A20" s="1681">
        <v>14</v>
      </c>
      <c r="B20" s="1688" t="s">
        <v>1976</v>
      </c>
      <c r="C20" s="1688"/>
      <c r="D20" s="1688"/>
      <c r="E20" s="1688"/>
      <c r="F20" s="1688"/>
      <c r="G20" s="1699" t="s">
        <v>1964</v>
      </c>
      <c r="H20" s="1695">
        <f>H18/960</f>
        <v>9444.5772966373424</v>
      </c>
      <c r="I20" s="1692" t="s">
        <v>33</v>
      </c>
      <c r="J20" s="1697"/>
      <c r="K20" s="1692"/>
    </row>
    <row r="21" spans="1:13" x14ac:dyDescent="0.25">
      <c r="A21" s="1681">
        <v>15</v>
      </c>
      <c r="B21" s="1688" t="s">
        <v>1977</v>
      </c>
      <c r="C21" s="1688"/>
      <c r="D21" s="1688"/>
      <c r="E21" s="1688"/>
      <c r="F21" s="1688"/>
      <c r="G21" s="1699" t="s">
        <v>1964</v>
      </c>
      <c r="H21" s="1695">
        <f>H19/960</f>
        <v>10793.802624728391</v>
      </c>
      <c r="I21" s="1692" t="s">
        <v>33</v>
      </c>
      <c r="J21" s="1697"/>
      <c r="K21" s="1692"/>
    </row>
    <row r="22" spans="1:13" x14ac:dyDescent="0.25">
      <c r="A22" s="1681"/>
      <c r="B22" s="1689"/>
      <c r="C22" s="1689"/>
      <c r="D22" s="1690"/>
      <c r="E22" s="1689"/>
      <c r="F22" s="1689"/>
      <c r="G22" s="1690"/>
      <c r="H22" s="1684"/>
      <c r="I22" s="1689"/>
      <c r="J22" s="1684"/>
      <c r="K22" s="1689"/>
    </row>
    <row r="23" spans="1:13" ht="15" x14ac:dyDescent="0.25">
      <c r="A23" s="1681">
        <v>16</v>
      </c>
      <c r="B23" s="1702" t="s">
        <v>1978</v>
      </c>
      <c r="C23" s="1689"/>
      <c r="D23" s="1689"/>
      <c r="E23" s="1689"/>
      <c r="F23" s="1689"/>
      <c r="G23" s="1699" t="s">
        <v>1964</v>
      </c>
      <c r="H23" s="2081"/>
      <c r="I23" s="2082"/>
    </row>
    <row r="24" spans="1:13" x14ac:dyDescent="0.25">
      <c r="A24" s="1681"/>
      <c r="B24" s="1689"/>
      <c r="C24" s="1689"/>
      <c r="D24" s="1689"/>
      <c r="E24" s="1689"/>
      <c r="F24" s="1689"/>
      <c r="G24" s="1690"/>
      <c r="H24" s="1684"/>
      <c r="I24" s="1689"/>
    </row>
    <row r="25" spans="1:13" s="1709" customFormat="1" x14ac:dyDescent="0.25">
      <c r="A25" s="1703">
        <v>17</v>
      </c>
      <c r="B25" s="1704" t="s">
        <v>2022</v>
      </c>
      <c r="C25" s="1705"/>
      <c r="D25" s="1705"/>
      <c r="E25" s="1706"/>
      <c r="F25" s="1706"/>
      <c r="G25" s="1705"/>
      <c r="H25" s="1707"/>
      <c r="I25" s="1708"/>
    </row>
    <row r="26" spans="1:13" s="1709" customFormat="1" x14ac:dyDescent="0.25">
      <c r="A26" s="1703"/>
      <c r="B26" s="1708" t="s">
        <v>1979</v>
      </c>
      <c r="C26" s="1708"/>
      <c r="D26" s="1708"/>
      <c r="E26" s="1708"/>
      <c r="F26" s="1708"/>
      <c r="G26" s="1710"/>
      <c r="H26" s="1711"/>
      <c r="I26" s="1708"/>
    </row>
    <row r="27" spans="1:13" s="1709" customFormat="1" x14ac:dyDescent="0.25">
      <c r="A27" s="1703"/>
      <c r="B27" s="1712" t="s">
        <v>1980</v>
      </c>
      <c r="C27" s="1708"/>
      <c r="D27" s="1708"/>
      <c r="E27" s="1708"/>
      <c r="F27" s="1708"/>
      <c r="G27" s="1710" t="s">
        <v>1964</v>
      </c>
      <c r="H27" s="1713">
        <f>H21</f>
        <v>10793.802624728391</v>
      </c>
      <c r="I27" s="1708" t="s">
        <v>33</v>
      </c>
    </row>
    <row r="28" spans="1:13" s="1709" customFormat="1" x14ac:dyDescent="0.25">
      <c r="A28" s="1703"/>
      <c r="B28" s="1708" t="s">
        <v>1981</v>
      </c>
      <c r="C28" s="1708"/>
      <c r="D28" s="1708"/>
      <c r="E28" s="1708"/>
      <c r="F28" s="1708"/>
      <c r="G28" s="1710" t="str">
        <f>G27</f>
        <v>::</v>
      </c>
      <c r="H28" s="1713">
        <f>H27*15</f>
        <v>161907.03937092586</v>
      </c>
      <c r="I28" s="1714" t="s">
        <v>1969</v>
      </c>
    </row>
    <row r="29" spans="1:13" s="1709" customFormat="1" x14ac:dyDescent="0.25">
      <c r="A29" s="1703"/>
      <c r="B29" s="1708" t="s">
        <v>1982</v>
      </c>
      <c r="C29" s="1708"/>
      <c r="D29" s="1708"/>
      <c r="E29" s="1708"/>
      <c r="F29" s="1708"/>
      <c r="G29" s="1710" t="str">
        <f>G28</f>
        <v>::</v>
      </c>
      <c r="H29" s="1715">
        <f>H28/1000</f>
        <v>161.90703937092587</v>
      </c>
      <c r="I29" s="1714" t="s">
        <v>20</v>
      </c>
      <c r="J29" s="1716">
        <f>3.14*100*3/4</f>
        <v>235.5</v>
      </c>
      <c r="K29" s="1716"/>
    </row>
    <row r="30" spans="1:13" s="1709" customFormat="1" x14ac:dyDescent="0.25">
      <c r="A30" s="1703"/>
      <c r="B30" s="1710" t="s">
        <v>1983</v>
      </c>
      <c r="C30" s="1708"/>
      <c r="D30" s="1708"/>
      <c r="E30" s="1708"/>
      <c r="F30" s="1708"/>
      <c r="G30" s="1717"/>
      <c r="H30" s="1711"/>
      <c r="I30" s="1714"/>
    </row>
    <row r="31" spans="1:13" x14ac:dyDescent="0.25">
      <c r="A31" s="1681"/>
      <c r="B31" s="1689"/>
      <c r="C31" s="1689"/>
      <c r="D31" s="1689"/>
      <c r="E31" s="1699"/>
      <c r="F31" s="1689"/>
      <c r="G31" s="1690"/>
      <c r="H31" s="1684"/>
      <c r="I31" s="1696"/>
    </row>
    <row r="32" spans="1:13" s="1723" customFormat="1" x14ac:dyDescent="0.25">
      <c r="A32" s="1718">
        <v>18</v>
      </c>
      <c r="B32" s="1719" t="s">
        <v>1984</v>
      </c>
      <c r="C32" s="1720"/>
      <c r="D32" s="1720"/>
      <c r="E32" s="1720"/>
      <c r="F32" s="1720"/>
      <c r="G32" s="1721"/>
      <c r="H32" s="1722"/>
      <c r="I32" s="1720"/>
    </row>
    <row r="33" spans="1:11" s="1723" customFormat="1" x14ac:dyDescent="0.25">
      <c r="A33" s="1718"/>
      <c r="B33" s="1724" t="s">
        <v>2158</v>
      </c>
      <c r="C33" s="1725"/>
      <c r="D33" s="1725"/>
      <c r="E33" s="1725"/>
      <c r="F33" s="1726"/>
      <c r="G33" s="1721"/>
      <c r="H33" s="1727">
        <f>H8</f>
        <v>100000</v>
      </c>
      <c r="I33" s="1720"/>
    </row>
    <row r="34" spans="1:11" s="1723" customFormat="1" x14ac:dyDescent="0.25">
      <c r="A34" s="1718"/>
      <c r="B34" s="2083" t="s">
        <v>1985</v>
      </c>
      <c r="C34" s="2084"/>
      <c r="D34" s="2084"/>
      <c r="E34" s="2084"/>
      <c r="F34" s="2085"/>
      <c r="G34" s="1721"/>
      <c r="H34" s="1728">
        <f>H10</f>
        <v>117257.8644923699</v>
      </c>
      <c r="I34" s="1720"/>
    </row>
    <row r="35" spans="1:11" s="1723" customFormat="1" x14ac:dyDescent="0.25">
      <c r="A35" s="1718"/>
      <c r="B35" s="1720" t="s">
        <v>1986</v>
      </c>
      <c r="C35" s="1720"/>
      <c r="D35" s="1720"/>
      <c r="E35" s="1720"/>
      <c r="F35" s="1720"/>
      <c r="G35" s="1721" t="s">
        <v>1964</v>
      </c>
      <c r="H35" s="1729">
        <f>H34*80/960</f>
        <v>9771.4887076974919</v>
      </c>
      <c r="I35" s="1720" t="s">
        <v>33</v>
      </c>
    </row>
    <row r="36" spans="1:11" s="1723" customFormat="1" x14ac:dyDescent="0.25">
      <c r="A36" s="1718"/>
      <c r="B36" s="1730" t="s">
        <v>1987</v>
      </c>
      <c r="C36" s="1720"/>
      <c r="D36" s="1720"/>
      <c r="E36" s="1720"/>
      <c r="F36" s="1720"/>
      <c r="G36" s="1721" t="str">
        <f>G35</f>
        <v>::</v>
      </c>
      <c r="H36" s="1729">
        <f>H35*30</f>
        <v>293144.66123092477</v>
      </c>
      <c r="I36" s="1720" t="s">
        <v>1969</v>
      </c>
    </row>
    <row r="37" spans="1:11" s="1723" customFormat="1" x14ac:dyDescent="0.25">
      <c r="A37" s="1718"/>
      <c r="B37" s="1731" t="s">
        <v>1988</v>
      </c>
      <c r="C37" s="1732"/>
      <c r="D37" s="1732"/>
      <c r="E37" s="1732"/>
      <c r="F37" s="1733"/>
      <c r="G37" s="1721"/>
      <c r="H37" s="1722"/>
      <c r="I37" s="1720"/>
    </row>
    <row r="38" spans="1:11" s="1723" customFormat="1" x14ac:dyDescent="0.25">
      <c r="A38" s="1734"/>
      <c r="B38" s="1735"/>
      <c r="C38" s="1735"/>
      <c r="D38" s="1735"/>
      <c r="E38" s="1736"/>
      <c r="F38" s="1735"/>
      <c r="G38" s="1718"/>
      <c r="H38" s="1737"/>
      <c r="I38" s="1738"/>
    </row>
    <row r="39" spans="1:11" x14ac:dyDescent="0.25">
      <c r="A39" s="1681"/>
      <c r="B39" s="1689"/>
      <c r="C39" s="1689"/>
      <c r="D39" s="1689"/>
      <c r="E39" s="1699"/>
      <c r="F39" s="1689"/>
      <c r="G39" s="1690"/>
      <c r="H39" s="1684"/>
      <c r="I39" s="1696"/>
    </row>
    <row r="40" spans="1:11" x14ac:dyDescent="0.25">
      <c r="A40" s="1681">
        <v>17</v>
      </c>
      <c r="B40" s="1702" t="s">
        <v>1989</v>
      </c>
      <c r="C40" s="1690"/>
      <c r="D40" s="1690"/>
      <c r="E40" s="1689"/>
      <c r="F40" s="1689"/>
      <c r="G40" s="1690"/>
      <c r="H40" s="1684"/>
      <c r="I40" s="1689"/>
    </row>
    <row r="41" spans="1:11" x14ac:dyDescent="0.25">
      <c r="A41" s="1681"/>
      <c r="B41" s="1689" t="s">
        <v>1990</v>
      </c>
      <c r="C41" s="1689"/>
      <c r="D41" s="1689"/>
      <c r="E41" s="1689"/>
      <c r="F41" s="1689"/>
      <c r="G41" s="1690" t="s">
        <v>1964</v>
      </c>
      <c r="H41" s="1695">
        <f>+H14</f>
        <v>8208050.5144658936</v>
      </c>
      <c r="I41" s="1689" t="s">
        <v>1991</v>
      </c>
      <c r="J41" s="1739"/>
      <c r="K41" s="1689"/>
    </row>
    <row r="42" spans="1:11" x14ac:dyDescent="0.25">
      <c r="A42" s="1681"/>
      <c r="B42" s="1684" t="s">
        <v>1992</v>
      </c>
      <c r="C42" s="1690"/>
      <c r="D42" s="1689"/>
      <c r="E42" s="1689"/>
      <c r="F42" s="1689"/>
      <c r="G42" s="1690"/>
      <c r="H42" s="1695">
        <f>ROUNDUP(H41*24/16,0)</f>
        <v>12312076</v>
      </c>
      <c r="I42" s="1689"/>
      <c r="J42" s="1741"/>
      <c r="K42" s="1689"/>
    </row>
    <row r="43" spans="1:11" x14ac:dyDescent="0.25">
      <c r="A43" s="1681"/>
      <c r="B43" s="1684"/>
      <c r="C43" s="1690"/>
      <c r="D43" s="1689"/>
      <c r="E43" s="1689"/>
      <c r="F43" s="1689"/>
      <c r="G43" s="1690"/>
      <c r="H43" s="1740">
        <f>H42/1000000</f>
        <v>12.312075999999999</v>
      </c>
      <c r="I43" s="1689" t="s">
        <v>35</v>
      </c>
      <c r="J43" s="1742"/>
      <c r="K43" s="1743"/>
    </row>
    <row r="44" spans="1:11" x14ac:dyDescent="0.25">
      <c r="A44" s="1681"/>
      <c r="B44" s="1744" t="s">
        <v>1993</v>
      </c>
      <c r="C44" s="1689"/>
      <c r="D44" s="1689"/>
      <c r="E44" s="1690"/>
      <c r="F44" s="1689"/>
      <c r="G44" s="1690"/>
      <c r="H44" s="1745"/>
      <c r="I44" s="1689"/>
    </row>
    <row r="45" spans="1:11" x14ac:dyDescent="0.25">
      <c r="A45" s="1681"/>
      <c r="B45" s="1690"/>
      <c r="C45" s="1689"/>
      <c r="D45" s="1689"/>
      <c r="E45" s="1690"/>
      <c r="F45" s="1689"/>
      <c r="G45" s="1690"/>
      <c r="H45" s="1745"/>
      <c r="I45" s="1689"/>
    </row>
    <row r="46" spans="1:11" x14ac:dyDescent="0.25">
      <c r="A46" s="1690">
        <v>18</v>
      </c>
      <c r="B46" s="1746" t="s">
        <v>1994</v>
      </c>
      <c r="C46" s="1690"/>
      <c r="D46" s="1690"/>
      <c r="E46" s="1689"/>
      <c r="F46" s="1689"/>
      <c r="G46" s="1690"/>
      <c r="H46" s="1684"/>
      <c r="I46" s="1689"/>
    </row>
    <row r="47" spans="1:11" x14ac:dyDescent="0.25">
      <c r="A47" s="1681"/>
      <c r="B47" s="1747" t="s">
        <v>1995</v>
      </c>
      <c r="C47" s="1689"/>
      <c r="D47" s="1689"/>
      <c r="E47" s="1689"/>
      <c r="F47" s="1689"/>
      <c r="G47" s="1690" t="s">
        <v>1964</v>
      </c>
      <c r="H47" s="1695">
        <f>H16</f>
        <v>8550.0526192353063</v>
      </c>
      <c r="I47" s="1689" t="s">
        <v>33</v>
      </c>
      <c r="J47" s="1748"/>
      <c r="K47" s="1689"/>
    </row>
    <row r="48" spans="1:11" x14ac:dyDescent="0.25">
      <c r="A48" s="1681"/>
      <c r="B48" s="1689" t="s">
        <v>1996</v>
      </c>
      <c r="C48" s="1689"/>
      <c r="D48" s="1689"/>
      <c r="E48" s="1744">
        <v>150</v>
      </c>
      <c r="F48" s="1689" t="s">
        <v>76</v>
      </c>
      <c r="G48" s="1690"/>
      <c r="H48" s="1749"/>
      <c r="I48" s="1689"/>
      <c r="J48" s="1684"/>
      <c r="K48" s="1689"/>
    </row>
    <row r="49" spans="1:11" x14ac:dyDescent="0.25">
      <c r="A49" s="1681"/>
      <c r="B49" s="1689" t="s">
        <v>1997</v>
      </c>
      <c r="C49" s="1689"/>
      <c r="D49" s="1689"/>
      <c r="E49" s="1750"/>
      <c r="F49" s="1689"/>
      <c r="G49" s="1690" t="s">
        <v>1964</v>
      </c>
      <c r="H49" s="1695">
        <f>H47*150</f>
        <v>1282507.8928852959</v>
      </c>
      <c r="I49" s="1689" t="s">
        <v>1969</v>
      </c>
      <c r="J49" s="1748"/>
      <c r="K49" s="1689"/>
    </row>
    <row r="50" spans="1:11" x14ac:dyDescent="0.25">
      <c r="A50" s="1681"/>
      <c r="B50" s="1751" t="s">
        <v>1998</v>
      </c>
      <c r="C50" s="1750"/>
      <c r="D50" s="1750"/>
      <c r="E50" s="1746"/>
      <c r="F50" s="1750"/>
      <c r="G50" s="1750"/>
      <c r="H50" s="1684"/>
      <c r="I50" s="1689"/>
    </row>
    <row r="51" spans="1:11" x14ac:dyDescent="0.25">
      <c r="A51" s="1681"/>
      <c r="B51" s="1751"/>
      <c r="C51" s="1750"/>
      <c r="D51" s="1750"/>
      <c r="E51" s="1746"/>
      <c r="F51" s="1750"/>
      <c r="G51" s="1750"/>
      <c r="H51" s="1684"/>
      <c r="I51" s="1689"/>
    </row>
    <row r="52" spans="1:11" x14ac:dyDescent="0.25">
      <c r="A52" s="1752"/>
      <c r="B52" s="1753"/>
      <c r="C52" s="1754"/>
      <c r="D52" s="1754"/>
      <c r="E52" s="1689"/>
      <c r="F52" s="1754"/>
      <c r="G52" s="1746"/>
      <c r="H52" s="1755"/>
      <c r="I52" s="1689"/>
    </row>
    <row r="53" spans="1:11" s="1761" customFormat="1" x14ac:dyDescent="0.25">
      <c r="A53" s="1756">
        <v>19</v>
      </c>
      <c r="B53" s="1757" t="s">
        <v>2023</v>
      </c>
      <c r="C53" s="1758"/>
      <c r="D53" s="1758"/>
      <c r="E53" s="1758"/>
      <c r="F53" s="1758"/>
      <c r="G53" s="1759"/>
      <c r="H53" s="1760"/>
      <c r="I53" s="1758"/>
    </row>
    <row r="54" spans="1:11" s="1761" customFormat="1" x14ac:dyDescent="0.25">
      <c r="A54" s="1756" t="s">
        <v>1999</v>
      </c>
      <c r="B54" s="1762" t="s">
        <v>2158</v>
      </c>
      <c r="C54" s="1763"/>
      <c r="D54" s="1763"/>
      <c r="E54" s="1763"/>
      <c r="F54" s="1764"/>
      <c r="G54" s="1759"/>
      <c r="H54" s="1765">
        <f>H8</f>
        <v>100000</v>
      </c>
      <c r="I54" s="1758"/>
    </row>
    <row r="55" spans="1:11" s="1761" customFormat="1" x14ac:dyDescent="0.25">
      <c r="A55" s="1756"/>
      <c r="B55" s="2086" t="s">
        <v>1985</v>
      </c>
      <c r="C55" s="2087"/>
      <c r="D55" s="2087"/>
      <c r="E55" s="2087"/>
      <c r="F55" s="2088"/>
      <c r="G55" s="1759"/>
      <c r="H55" s="1766">
        <f>H10</f>
        <v>117257.8644923699</v>
      </c>
      <c r="I55" s="1758"/>
    </row>
    <row r="56" spans="1:11" s="1761" customFormat="1" x14ac:dyDescent="0.25">
      <c r="A56" s="1756"/>
      <c r="B56" s="1758" t="s">
        <v>1986</v>
      </c>
      <c r="C56" s="1758"/>
      <c r="D56" s="1758"/>
      <c r="E56" s="1758"/>
      <c r="F56" s="1758"/>
      <c r="G56" s="1759" t="s">
        <v>1964</v>
      </c>
      <c r="H56" s="1767">
        <f>H55*70/960</f>
        <v>8550.0526192353063</v>
      </c>
      <c r="I56" s="1758" t="s">
        <v>33</v>
      </c>
    </row>
    <row r="57" spans="1:11" s="1761" customFormat="1" x14ac:dyDescent="0.25">
      <c r="A57" s="1756"/>
      <c r="B57" s="1768" t="s">
        <v>1987</v>
      </c>
      <c r="C57" s="1758"/>
      <c r="D57" s="1758"/>
      <c r="E57" s="1758"/>
      <c r="F57" s="1758"/>
      <c r="G57" s="1759" t="str">
        <f>G56</f>
        <v>::</v>
      </c>
      <c r="H57" s="1767">
        <f>H56*30</f>
        <v>256501.5785770592</v>
      </c>
      <c r="I57" s="1758" t="s">
        <v>1969</v>
      </c>
    </row>
    <row r="58" spans="1:11" s="1761" customFormat="1" x14ac:dyDescent="0.25">
      <c r="A58" s="1756"/>
      <c r="B58" s="1769" t="s">
        <v>2000</v>
      </c>
      <c r="C58" s="1770"/>
      <c r="D58" s="1770"/>
      <c r="E58" s="1770"/>
      <c r="F58" s="1771"/>
      <c r="G58" s="1759"/>
      <c r="H58" s="1760"/>
      <c r="I58" s="1758"/>
    </row>
    <row r="59" spans="1:11" s="1761" customFormat="1" x14ac:dyDescent="0.25">
      <c r="A59" s="1756"/>
      <c r="B59" s="1772"/>
      <c r="C59" s="1773"/>
      <c r="D59" s="1772"/>
      <c r="E59" s="1774"/>
      <c r="F59" s="1772"/>
      <c r="G59" s="1772"/>
      <c r="H59" s="1772"/>
      <c r="I59" s="1772"/>
    </row>
    <row r="60" spans="1:11" ht="14.25" x14ac:dyDescent="0.25">
      <c r="A60" s="1690"/>
      <c r="B60" s="1775" t="s">
        <v>2001</v>
      </c>
      <c r="C60" s="1776"/>
      <c r="D60" s="1689"/>
      <c r="E60" s="1747"/>
      <c r="F60" s="1689"/>
      <c r="G60" s="1689"/>
      <c r="H60" s="1689"/>
      <c r="I60" s="1689"/>
    </row>
    <row r="61" spans="1:11" x14ac:dyDescent="0.25">
      <c r="A61" s="1690">
        <v>19</v>
      </c>
      <c r="B61" s="1777" t="s">
        <v>2002</v>
      </c>
      <c r="C61" s="1778"/>
      <c r="D61" s="1778"/>
      <c r="E61" s="1779"/>
      <c r="F61" s="1778"/>
      <c r="G61" s="1690"/>
      <c r="H61" s="1684"/>
      <c r="I61" s="1689"/>
    </row>
    <row r="62" spans="1:11" x14ac:dyDescent="0.25">
      <c r="A62" s="1690"/>
      <c r="B62" s="1684" t="s">
        <v>2003</v>
      </c>
      <c r="C62" s="1779"/>
      <c r="D62" s="1779"/>
      <c r="E62" s="1689"/>
      <c r="F62" s="1778"/>
      <c r="G62" s="1690" t="str">
        <f>G63</f>
        <v>::</v>
      </c>
      <c r="H62" s="1780">
        <f>H10</f>
        <v>117257.8644923699</v>
      </c>
      <c r="I62" s="1689"/>
      <c r="J62" s="1748"/>
      <c r="K62" s="1689"/>
    </row>
    <row r="63" spans="1:11" x14ac:dyDescent="0.25">
      <c r="A63" s="1690"/>
      <c r="B63" s="1689" t="s">
        <v>2004</v>
      </c>
      <c r="C63" s="1689"/>
      <c r="D63" s="1689"/>
      <c r="E63" s="1689"/>
      <c r="F63" s="1689"/>
      <c r="G63" s="1690" t="s">
        <v>1964</v>
      </c>
      <c r="H63" s="1780">
        <f>H17</f>
        <v>9771.4887076974919</v>
      </c>
      <c r="I63" s="1689" t="s">
        <v>33</v>
      </c>
      <c r="J63" s="1748"/>
      <c r="K63" s="1689"/>
    </row>
    <row r="64" spans="1:11" x14ac:dyDescent="0.25">
      <c r="A64" s="1690"/>
      <c r="B64" s="1684" t="s">
        <v>2005</v>
      </c>
      <c r="C64" s="1689"/>
      <c r="D64" s="1689"/>
      <c r="E64" s="1689"/>
      <c r="F64" s="1689"/>
      <c r="G64" s="1689"/>
      <c r="H64" s="1781">
        <v>0.5</v>
      </c>
      <c r="I64" s="1689" t="s">
        <v>2006</v>
      </c>
      <c r="J64" s="1741"/>
      <c r="K64" s="1689"/>
    </row>
    <row r="65" spans="1:12" x14ac:dyDescent="0.25">
      <c r="A65" s="1690"/>
      <c r="B65" s="1684" t="s">
        <v>2007</v>
      </c>
      <c r="C65" s="1689"/>
      <c r="D65" s="1689"/>
      <c r="E65" s="1689"/>
      <c r="F65" s="1689"/>
      <c r="G65" s="1689"/>
      <c r="H65" s="1781">
        <v>505</v>
      </c>
      <c r="I65" s="1689"/>
      <c r="J65" s="1741"/>
      <c r="K65" s="1689"/>
    </row>
    <row r="66" spans="1:12" x14ac:dyDescent="0.25">
      <c r="A66" s="1690"/>
      <c r="B66" s="1684" t="s">
        <v>2008</v>
      </c>
      <c r="C66" s="1689"/>
      <c r="D66" s="1689"/>
      <c r="E66" s="1689"/>
      <c r="F66" s="1689"/>
      <c r="G66" s="1689"/>
      <c r="H66" s="1781">
        <v>485</v>
      </c>
      <c r="I66" s="1689"/>
      <c r="J66" s="1741"/>
      <c r="K66" s="1689"/>
    </row>
    <row r="67" spans="1:12" x14ac:dyDescent="0.25">
      <c r="A67" s="1690"/>
      <c r="B67" s="1684" t="s">
        <v>2009</v>
      </c>
      <c r="C67" s="1689"/>
      <c r="D67" s="1689"/>
      <c r="E67" s="1689"/>
      <c r="F67" s="1689"/>
      <c r="G67" s="1689"/>
      <c r="H67" s="1781">
        <f>1.34*H64*607980*(H63^1.81)/(500)^4.81</f>
        <v>0.70753398353742381</v>
      </c>
      <c r="I67" s="1689"/>
      <c r="J67" s="1741"/>
      <c r="K67" s="1689"/>
    </row>
    <row r="68" spans="1:12" x14ac:dyDescent="0.25">
      <c r="A68" s="1690"/>
      <c r="B68" s="1684" t="s">
        <v>2010</v>
      </c>
      <c r="C68" s="1689"/>
      <c r="D68" s="1689"/>
      <c r="E68" s="1689"/>
      <c r="F68" s="1689"/>
      <c r="G68" s="1689"/>
      <c r="H68" s="1781">
        <v>6</v>
      </c>
      <c r="I68" s="1689"/>
      <c r="J68" s="1741"/>
      <c r="K68" s="1689"/>
    </row>
    <row r="69" spans="1:12" x14ac:dyDescent="0.25">
      <c r="A69" s="1690"/>
      <c r="B69" s="1689" t="s">
        <v>94</v>
      </c>
      <c r="C69" s="1689"/>
      <c r="D69" s="1689"/>
      <c r="E69" s="1689"/>
      <c r="F69" s="1689"/>
      <c r="G69" s="1689"/>
      <c r="H69" s="1781">
        <f>H65-H66+H68+H67</f>
        <v>26.707533983537424</v>
      </c>
      <c r="I69" s="1689" t="s">
        <v>2011</v>
      </c>
      <c r="J69" s="1741">
        <f>H63/2</f>
        <v>4885.744353848746</v>
      </c>
      <c r="K69" s="1689"/>
    </row>
    <row r="70" spans="1:12" x14ac:dyDescent="0.25">
      <c r="A70" s="1690"/>
      <c r="B70" s="1689" t="s">
        <v>2012</v>
      </c>
      <c r="C70" s="1689"/>
      <c r="D70" s="1689"/>
      <c r="E70" s="1689"/>
      <c r="F70" s="1689"/>
      <c r="G70" s="1689"/>
      <c r="H70" s="1781">
        <f>H63*H69/(4500*0.6)</f>
        <v>96.656432122438133</v>
      </c>
      <c r="I70" s="1689" t="s">
        <v>2013</v>
      </c>
      <c r="J70" s="1741"/>
      <c r="K70" s="1689"/>
    </row>
    <row r="71" spans="1:12" x14ac:dyDescent="0.25">
      <c r="A71" s="1690"/>
      <c r="B71" s="1690" t="s">
        <v>2014</v>
      </c>
      <c r="C71" s="1683">
        <v>75</v>
      </c>
      <c r="D71" s="1690" t="s">
        <v>2013</v>
      </c>
      <c r="E71" s="1753" t="s">
        <v>2015</v>
      </c>
      <c r="F71" s="1690"/>
      <c r="G71" s="1690"/>
      <c r="H71" s="1690"/>
      <c r="I71" s="1690"/>
      <c r="J71" s="1677">
        <f>C71*3*11000</f>
        <v>2475000</v>
      </c>
      <c r="L71" s="1677">
        <f>H63/2</f>
        <v>4885.744353848746</v>
      </c>
    </row>
    <row r="72" spans="1:12" x14ac:dyDescent="0.25">
      <c r="A72" s="1690"/>
      <c r="B72" s="1690"/>
      <c r="C72" s="1683"/>
      <c r="D72" s="1690"/>
      <c r="E72" s="1753"/>
      <c r="F72" s="1690"/>
      <c r="G72" s="1690"/>
      <c r="H72" s="1690"/>
      <c r="I72" s="1690"/>
    </row>
    <row r="73" spans="1:12" x14ac:dyDescent="0.25">
      <c r="A73" s="1690">
        <v>20</v>
      </c>
      <c r="B73" s="1777" t="s">
        <v>2016</v>
      </c>
      <c r="C73" s="1778"/>
      <c r="D73" s="1778"/>
      <c r="E73" s="1782"/>
      <c r="F73" s="1778"/>
      <c r="G73" s="1690"/>
      <c r="H73" s="1783"/>
      <c r="I73" s="1689"/>
    </row>
    <row r="74" spans="1:12" x14ac:dyDescent="0.25">
      <c r="A74" s="1690"/>
      <c r="B74" s="1684" t="s">
        <v>2003</v>
      </c>
      <c r="C74" s="1779"/>
      <c r="D74" s="1779"/>
      <c r="E74" s="1689"/>
      <c r="F74" s="1778"/>
      <c r="G74" s="1690" t="str">
        <f>G75</f>
        <v>::</v>
      </c>
      <c r="H74" s="1780">
        <f>H62</f>
        <v>117257.8644923699</v>
      </c>
      <c r="I74" s="1689"/>
      <c r="J74" s="1748"/>
      <c r="K74" s="1689"/>
    </row>
    <row r="75" spans="1:12" x14ac:dyDescent="0.25">
      <c r="A75" s="1690"/>
      <c r="B75" s="1689" t="s">
        <v>2017</v>
      </c>
      <c r="C75" s="1689"/>
      <c r="D75" s="1689"/>
      <c r="E75" s="1689"/>
      <c r="F75" s="1689"/>
      <c r="G75" s="1690" t="s">
        <v>1964</v>
      </c>
      <c r="H75" s="1780">
        <f>H56</f>
        <v>8550.0526192353063</v>
      </c>
      <c r="I75" s="1689" t="s">
        <v>33</v>
      </c>
      <c r="J75" s="1748"/>
      <c r="K75" s="1689"/>
    </row>
    <row r="76" spans="1:12" x14ac:dyDescent="0.25">
      <c r="A76" s="1690"/>
      <c r="B76" s="1684" t="s">
        <v>2005</v>
      </c>
      <c r="C76" s="1689"/>
      <c r="D76" s="1689"/>
      <c r="E76" s="1689"/>
      <c r="F76" s="1689"/>
      <c r="G76" s="1689"/>
      <c r="H76" s="1781">
        <v>48.43</v>
      </c>
      <c r="I76" s="1689" t="s">
        <v>2006</v>
      </c>
      <c r="J76" s="1741"/>
      <c r="K76" s="1689"/>
    </row>
    <row r="77" spans="1:12" x14ac:dyDescent="0.25">
      <c r="A77" s="1690"/>
      <c r="B77" s="1684" t="s">
        <v>2018</v>
      </c>
      <c r="C77" s="1689"/>
      <c r="D77" s="1689"/>
      <c r="E77" s="1689"/>
      <c r="F77" s="1689"/>
      <c r="G77" s="1689"/>
      <c r="H77" s="1781">
        <v>550</v>
      </c>
      <c r="I77" s="1689"/>
      <c r="J77" s="1741"/>
      <c r="K77" s="1689"/>
    </row>
    <row r="78" spans="1:12" x14ac:dyDescent="0.25">
      <c r="A78" s="1690"/>
      <c r="B78" s="1684" t="s">
        <v>2019</v>
      </c>
      <c r="C78" s="1689"/>
      <c r="D78" s="1689"/>
      <c r="E78" s="1689"/>
      <c r="F78" s="1689"/>
      <c r="G78" s="1689"/>
      <c r="H78" s="1781">
        <v>480</v>
      </c>
      <c r="I78" s="1689"/>
      <c r="J78" s="1741"/>
      <c r="K78" s="1689"/>
    </row>
    <row r="79" spans="1:12" x14ac:dyDescent="0.25">
      <c r="A79" s="1690"/>
      <c r="B79" s="1684" t="s">
        <v>2009</v>
      </c>
      <c r="C79" s="1689"/>
      <c r="D79" s="1689"/>
      <c r="E79" s="1689"/>
      <c r="F79" s="1689"/>
      <c r="G79" s="1689"/>
      <c r="H79" s="1781">
        <f>1.34*H76*607980*(H75^1.81)/(450)^4.81</f>
        <v>89.334636488034491</v>
      </c>
      <c r="I79" s="1689"/>
      <c r="J79" s="1741">
        <f>H75/2</f>
        <v>4275.0263096176532</v>
      </c>
      <c r="K79" s="1689"/>
    </row>
    <row r="80" spans="1:12" x14ac:dyDescent="0.25">
      <c r="A80" s="1690"/>
      <c r="B80" s="1684" t="s">
        <v>2010</v>
      </c>
      <c r="C80" s="1689"/>
      <c r="D80" s="1689"/>
      <c r="E80" s="1689"/>
      <c r="F80" s="1689"/>
      <c r="G80" s="1689"/>
      <c r="H80" s="1781">
        <v>6</v>
      </c>
      <c r="I80" s="1689"/>
      <c r="J80" s="1741"/>
      <c r="K80" s="1689"/>
    </row>
    <row r="81" spans="1:11" x14ac:dyDescent="0.25">
      <c r="A81" s="1690"/>
      <c r="B81" s="1689" t="s">
        <v>94</v>
      </c>
      <c r="C81" s="1689"/>
      <c r="D81" s="1689"/>
      <c r="E81" s="1689"/>
      <c r="F81" s="1689"/>
      <c r="G81" s="1689"/>
      <c r="H81" s="1781">
        <f>H77-H78+H80+H79</f>
        <v>165.3346364880345</v>
      </c>
      <c r="I81" s="1689" t="s">
        <v>2011</v>
      </c>
      <c r="J81" s="1741"/>
      <c r="K81" s="1689"/>
    </row>
    <row r="82" spans="1:11" x14ac:dyDescent="0.25">
      <c r="A82" s="1690"/>
      <c r="B82" s="1689" t="s">
        <v>2012</v>
      </c>
      <c r="C82" s="1689"/>
      <c r="D82" s="1689"/>
      <c r="E82" s="1689"/>
      <c r="F82" s="1689"/>
      <c r="G82" s="1689"/>
      <c r="H82" s="1781">
        <f>H75*H81/(4500*0.5)</f>
        <v>628.27548522437189</v>
      </c>
      <c r="I82" s="1689" t="s">
        <v>2013</v>
      </c>
      <c r="J82" s="1741"/>
      <c r="K82" s="1689"/>
    </row>
    <row r="83" spans="1:11" x14ac:dyDescent="0.25">
      <c r="A83" s="1690"/>
      <c r="B83" s="1690" t="s">
        <v>2014</v>
      </c>
      <c r="C83" s="1683">
        <v>400</v>
      </c>
      <c r="D83" s="1690" t="s">
        <v>2013</v>
      </c>
      <c r="E83" s="1753" t="s">
        <v>2020</v>
      </c>
      <c r="F83" s="1690"/>
      <c r="G83" s="1690"/>
      <c r="H83" s="1690"/>
      <c r="I83" s="1690"/>
      <c r="J83" s="1677">
        <f>C83*2*9500</f>
        <v>7600000</v>
      </c>
    </row>
    <row r="84" spans="1:11" x14ac:dyDescent="0.25">
      <c r="A84" s="1690"/>
      <c r="G84" s="1677"/>
      <c r="H84" s="1677"/>
    </row>
    <row r="85" spans="1:11" x14ac:dyDescent="0.25">
      <c r="A85" s="1690"/>
      <c r="B85" s="1777"/>
      <c r="C85" s="1778"/>
      <c r="D85" s="1778"/>
      <c r="E85" s="1779"/>
      <c r="F85" s="1778"/>
      <c r="G85" s="1690"/>
      <c r="H85" s="1684"/>
      <c r="I85" s="1689"/>
    </row>
    <row r="86" spans="1:11" x14ac:dyDescent="0.25">
      <c r="A86" s="1690"/>
      <c r="B86" s="1684"/>
      <c r="C86" s="1779"/>
      <c r="D86" s="1779"/>
      <c r="E86" s="1689"/>
      <c r="F86" s="1778"/>
      <c r="G86" s="1690"/>
      <c r="H86" s="1780"/>
      <c r="I86" s="1689"/>
      <c r="J86" s="1748"/>
      <c r="K86" s="1689"/>
    </row>
    <row r="87" spans="1:11" x14ac:dyDescent="0.25">
      <c r="A87" s="1690"/>
      <c r="B87" s="1689"/>
      <c r="C87" s="1689"/>
      <c r="D87" s="1689"/>
      <c r="E87" s="1689"/>
      <c r="F87" s="1689"/>
      <c r="G87" s="1690"/>
      <c r="H87" s="1780"/>
      <c r="I87" s="1689"/>
      <c r="J87" s="1748"/>
      <c r="K87" s="1689"/>
    </row>
    <row r="88" spans="1:11" x14ac:dyDescent="0.25">
      <c r="A88" s="1690"/>
      <c r="B88" s="1684"/>
      <c r="C88" s="1689"/>
      <c r="D88" s="1689"/>
      <c r="E88" s="1689"/>
      <c r="F88" s="1689"/>
      <c r="G88" s="1689"/>
      <c r="H88" s="1781"/>
      <c r="I88" s="1689"/>
      <c r="J88" s="1741"/>
      <c r="K88" s="1689"/>
    </row>
    <row r="89" spans="1:11" x14ac:dyDescent="0.25">
      <c r="A89" s="1690"/>
      <c r="B89" s="1684"/>
      <c r="C89" s="1689"/>
      <c r="D89" s="1689"/>
      <c r="E89" s="1689"/>
      <c r="F89" s="1689"/>
      <c r="G89" s="1689"/>
      <c r="H89" s="1781"/>
      <c r="I89" s="1689"/>
      <c r="J89" s="1741"/>
      <c r="K89" s="1689"/>
    </row>
    <row r="90" spans="1:11" x14ac:dyDescent="0.25">
      <c r="A90" s="1690"/>
      <c r="B90" s="1684"/>
      <c r="C90" s="1689"/>
      <c r="D90" s="1689"/>
      <c r="E90" s="1689"/>
      <c r="F90" s="1689"/>
      <c r="G90" s="1689"/>
      <c r="H90" s="1781"/>
      <c r="I90" s="1689"/>
      <c r="J90" s="1741"/>
      <c r="K90" s="1689"/>
    </row>
    <row r="91" spans="1:11" x14ac:dyDescent="0.25">
      <c r="A91" s="1690"/>
      <c r="B91" s="1684"/>
      <c r="C91" s="1689"/>
      <c r="D91" s="1689"/>
      <c r="E91" s="1689"/>
      <c r="F91" s="1689"/>
      <c r="G91" s="1689"/>
      <c r="H91" s="1781"/>
      <c r="I91" s="1689"/>
      <c r="J91" s="1741"/>
      <c r="K91" s="1689"/>
    </row>
    <row r="92" spans="1:11" x14ac:dyDescent="0.25">
      <c r="A92" s="1690"/>
      <c r="B92" s="1684"/>
      <c r="C92" s="1689"/>
      <c r="D92" s="1689"/>
      <c r="E92" s="1689"/>
      <c r="F92" s="1689"/>
      <c r="G92" s="1689"/>
      <c r="H92" s="1781"/>
      <c r="I92" s="1689"/>
      <c r="J92" s="1741"/>
      <c r="K92" s="1689"/>
    </row>
    <row r="93" spans="1:11" x14ac:dyDescent="0.25">
      <c r="A93" s="1690"/>
      <c r="B93" s="1689"/>
      <c r="C93" s="1689"/>
      <c r="D93" s="1689"/>
      <c r="E93" s="1689"/>
      <c r="F93" s="1689"/>
      <c r="G93" s="1689"/>
      <c r="H93" s="1781"/>
      <c r="I93" s="1689"/>
      <c r="J93" s="1741"/>
      <c r="K93" s="1689"/>
    </row>
    <row r="94" spans="1:11" x14ac:dyDescent="0.25">
      <c r="A94" s="1690"/>
      <c r="B94" s="1689"/>
      <c r="C94" s="1689"/>
      <c r="D94" s="1689"/>
      <c r="E94" s="1689"/>
      <c r="F94" s="1689"/>
      <c r="G94" s="1689"/>
      <c r="H94" s="1781"/>
      <c r="I94" s="1689"/>
      <c r="J94" s="1741"/>
      <c r="K94" s="1689"/>
    </row>
    <row r="95" spans="1:11" x14ac:dyDescent="0.25">
      <c r="A95" s="1690"/>
      <c r="B95" s="1690"/>
      <c r="C95" s="1683"/>
      <c r="D95" s="1690"/>
      <c r="E95" s="1753"/>
      <c r="F95" s="1690"/>
      <c r="G95" s="1690"/>
      <c r="H95" s="1690"/>
      <c r="I95" s="1690"/>
    </row>
    <row r="96" spans="1:11" x14ac:dyDescent="0.25">
      <c r="G96" s="1677"/>
      <c r="H96" s="1677"/>
    </row>
    <row r="97" spans="1:11" x14ac:dyDescent="0.25">
      <c r="A97" s="1690"/>
      <c r="B97" s="1777"/>
      <c r="C97" s="1778"/>
      <c r="D97" s="1778"/>
      <c r="E97" s="1779"/>
      <c r="F97" s="1778"/>
      <c r="G97" s="1690"/>
      <c r="H97" s="1684"/>
      <c r="I97" s="1689"/>
    </row>
    <row r="98" spans="1:11" x14ac:dyDescent="0.25">
      <c r="A98" s="1690"/>
      <c r="B98" s="1684"/>
      <c r="C98" s="1779"/>
      <c r="D98" s="1779"/>
      <c r="E98" s="1689"/>
      <c r="F98" s="1778"/>
      <c r="G98" s="1690"/>
      <c r="H98" s="1780"/>
      <c r="I98" s="1689"/>
      <c r="J98" s="1748"/>
      <c r="K98" s="1689"/>
    </row>
    <row r="99" spans="1:11" x14ac:dyDescent="0.25">
      <c r="A99" s="1690"/>
      <c r="B99" s="1689"/>
      <c r="C99" s="1689"/>
      <c r="D99" s="1689"/>
      <c r="E99" s="1689"/>
      <c r="F99" s="1689"/>
      <c r="G99" s="1690"/>
      <c r="H99" s="1780"/>
      <c r="I99" s="1689"/>
      <c r="J99" s="1748"/>
      <c r="K99" s="1689"/>
    </row>
    <row r="100" spans="1:11" x14ac:dyDescent="0.25">
      <c r="A100" s="1690"/>
      <c r="B100" s="1684"/>
      <c r="C100" s="1689"/>
      <c r="D100" s="1689"/>
      <c r="E100" s="1689"/>
      <c r="F100" s="1689"/>
      <c r="G100" s="1689"/>
      <c r="H100" s="1781"/>
      <c r="I100" s="1689"/>
      <c r="J100" s="1741"/>
      <c r="K100" s="1689"/>
    </row>
    <row r="101" spans="1:11" x14ac:dyDescent="0.25">
      <c r="A101" s="1690"/>
      <c r="B101" s="1684"/>
      <c r="C101" s="1689"/>
      <c r="D101" s="1689"/>
      <c r="E101" s="1689"/>
      <c r="F101" s="1689"/>
      <c r="G101" s="1689"/>
      <c r="H101" s="1781"/>
      <c r="I101" s="1689"/>
      <c r="J101" s="1741"/>
      <c r="K101" s="1689"/>
    </row>
    <row r="102" spans="1:11" x14ac:dyDescent="0.25">
      <c r="A102" s="1690"/>
      <c r="B102" s="1684"/>
      <c r="C102" s="1689"/>
      <c r="D102" s="1689"/>
      <c r="E102" s="1689"/>
      <c r="F102" s="1689"/>
      <c r="G102" s="1689"/>
      <c r="H102" s="1781"/>
      <c r="I102" s="1689"/>
      <c r="J102" s="1741"/>
      <c r="K102" s="1689"/>
    </row>
    <row r="103" spans="1:11" x14ac:dyDescent="0.25">
      <c r="A103" s="1690"/>
      <c r="B103" s="1684"/>
      <c r="C103" s="1689"/>
      <c r="D103" s="1689"/>
      <c r="E103" s="1689"/>
      <c r="F103" s="1689"/>
      <c r="G103" s="1689"/>
      <c r="H103" s="1781"/>
      <c r="I103" s="1689"/>
      <c r="J103" s="1741"/>
      <c r="K103" s="1689"/>
    </row>
    <row r="104" spans="1:11" x14ac:dyDescent="0.25">
      <c r="A104" s="1690"/>
      <c r="B104" s="1684"/>
      <c r="C104" s="1689"/>
      <c r="D104" s="1689"/>
      <c r="E104" s="1689"/>
      <c r="F104" s="1689"/>
      <c r="G104" s="1689"/>
      <c r="H104" s="1781"/>
      <c r="I104" s="1689"/>
      <c r="J104" s="1741"/>
      <c r="K104" s="1689"/>
    </row>
    <row r="105" spans="1:11" x14ac:dyDescent="0.25">
      <c r="A105" s="1690"/>
      <c r="B105" s="1689"/>
      <c r="C105" s="1689"/>
      <c r="D105" s="1689"/>
      <c r="E105" s="1689"/>
      <c r="F105" s="1689"/>
      <c r="G105" s="1689"/>
      <c r="H105" s="1781"/>
      <c r="I105" s="1689"/>
      <c r="J105" s="1741"/>
      <c r="K105" s="1689"/>
    </row>
    <row r="106" spans="1:11" x14ac:dyDescent="0.25">
      <c r="A106" s="1690"/>
      <c r="B106" s="1689"/>
      <c r="C106" s="1689"/>
      <c r="D106" s="1689"/>
      <c r="E106" s="1689"/>
      <c r="F106" s="1689"/>
      <c r="G106" s="1689"/>
      <c r="H106" s="1781"/>
      <c r="I106" s="1689"/>
      <c r="J106" s="1741"/>
      <c r="K106" s="1689">
        <f>H99/2</f>
        <v>0</v>
      </c>
    </row>
    <row r="107" spans="1:11" x14ac:dyDescent="0.25">
      <c r="A107" s="1690"/>
      <c r="B107" s="1690"/>
      <c r="C107" s="1683"/>
      <c r="D107" s="1690"/>
      <c r="E107" s="1753"/>
      <c r="F107" s="1690"/>
      <c r="G107" s="1690"/>
      <c r="H107" s="1690"/>
      <c r="I107" s="1690"/>
    </row>
    <row r="108" spans="1:11" x14ac:dyDescent="0.25">
      <c r="A108" s="1690"/>
      <c r="B108" s="1777"/>
      <c r="C108" s="1778"/>
      <c r="D108" s="1778"/>
      <c r="E108" s="1779"/>
      <c r="F108" s="1778"/>
      <c r="G108" s="1690"/>
      <c r="H108" s="1684"/>
      <c r="I108" s="1689"/>
    </row>
    <row r="109" spans="1:11" x14ac:dyDescent="0.25">
      <c r="A109" s="1690"/>
      <c r="B109" s="1684"/>
      <c r="C109" s="1779"/>
      <c r="D109" s="1779"/>
      <c r="E109" s="1689"/>
      <c r="F109" s="1778"/>
      <c r="G109" s="1690"/>
      <c r="H109" s="1780"/>
      <c r="I109" s="1689"/>
    </row>
    <row r="110" spans="1:11" x14ac:dyDescent="0.25">
      <c r="A110" s="1690"/>
      <c r="B110" s="1689"/>
      <c r="C110" s="1689"/>
      <c r="D110" s="1689"/>
      <c r="E110" s="1689"/>
      <c r="F110" s="1689"/>
      <c r="G110" s="1690"/>
      <c r="H110" s="1780"/>
      <c r="I110" s="1689"/>
    </row>
    <row r="111" spans="1:11" x14ac:dyDescent="0.25">
      <c r="A111" s="1690"/>
      <c r="B111" s="1684"/>
      <c r="C111" s="1689"/>
      <c r="D111" s="1689"/>
      <c r="E111" s="1689"/>
      <c r="F111" s="1689"/>
      <c r="G111" s="1689"/>
      <c r="H111" s="1781"/>
      <c r="I111" s="1689"/>
    </row>
    <row r="112" spans="1:11" x14ac:dyDescent="0.25">
      <c r="A112" s="1690"/>
      <c r="B112" s="1684"/>
      <c r="C112" s="1689"/>
      <c r="D112" s="1689"/>
      <c r="E112" s="1689"/>
      <c r="F112" s="1689"/>
      <c r="G112" s="1689"/>
      <c r="H112" s="1781"/>
      <c r="I112" s="1689"/>
    </row>
    <row r="113" spans="1:9" x14ac:dyDescent="0.25">
      <c r="A113" s="1690"/>
      <c r="B113" s="1684"/>
      <c r="C113" s="1689"/>
      <c r="D113" s="1689"/>
      <c r="E113" s="1689"/>
      <c r="F113" s="1689"/>
      <c r="G113" s="1689"/>
      <c r="H113" s="1781"/>
      <c r="I113" s="1689"/>
    </row>
    <row r="114" spans="1:9" x14ac:dyDescent="0.25">
      <c r="A114" s="1690"/>
      <c r="B114" s="1684"/>
      <c r="C114" s="1689"/>
      <c r="D114" s="1689"/>
      <c r="E114" s="1689"/>
      <c r="F114" s="1689"/>
      <c r="G114" s="1689"/>
      <c r="H114" s="1781"/>
      <c r="I114" s="1689"/>
    </row>
    <row r="115" spans="1:9" x14ac:dyDescent="0.25">
      <c r="A115" s="1690"/>
      <c r="B115" s="1684"/>
      <c r="C115" s="1689"/>
      <c r="D115" s="1689"/>
      <c r="E115" s="1689"/>
      <c r="F115" s="1689"/>
      <c r="G115" s="1689"/>
      <c r="H115" s="1781"/>
      <c r="I115" s="1689"/>
    </row>
    <row r="116" spans="1:9" x14ac:dyDescent="0.25">
      <c r="A116" s="1690"/>
      <c r="B116" s="1689"/>
      <c r="C116" s="1689"/>
      <c r="D116" s="1689"/>
      <c r="E116" s="1689"/>
      <c r="F116" s="1689"/>
      <c r="G116" s="1689"/>
      <c r="H116" s="1781"/>
      <c r="I116" s="1689"/>
    </row>
    <row r="117" spans="1:9" x14ac:dyDescent="0.25">
      <c r="A117" s="1690"/>
      <c r="B117" s="1689"/>
      <c r="C117" s="1689"/>
      <c r="D117" s="1689"/>
      <c r="E117" s="1689"/>
      <c r="F117" s="1689"/>
      <c r="G117" s="1689"/>
      <c r="H117" s="1781"/>
      <c r="I117" s="1689"/>
    </row>
    <row r="118" spans="1:9" x14ac:dyDescent="0.25">
      <c r="A118" s="1690"/>
      <c r="B118" s="1690"/>
      <c r="C118" s="1683"/>
      <c r="D118" s="1690"/>
      <c r="E118" s="1753"/>
      <c r="F118" s="1690"/>
      <c r="G118" s="1690"/>
      <c r="H118" s="1690"/>
      <c r="I118" s="1690"/>
    </row>
    <row r="120" spans="1:9" x14ac:dyDescent="0.25">
      <c r="A120" s="1690"/>
      <c r="B120" s="1777"/>
      <c r="C120" s="1778"/>
      <c r="D120" s="1778"/>
      <c r="E120" s="1779"/>
      <c r="F120" s="1778"/>
      <c r="G120" s="1690"/>
      <c r="H120" s="1684"/>
      <c r="I120" s="1689"/>
    </row>
    <row r="121" spans="1:9" x14ac:dyDescent="0.25">
      <c r="A121" s="1690"/>
      <c r="B121" s="1684"/>
      <c r="C121" s="1779"/>
      <c r="D121" s="1779"/>
      <c r="E121" s="1689"/>
      <c r="F121" s="1778"/>
      <c r="G121" s="1690"/>
      <c r="H121" s="1780"/>
      <c r="I121" s="1689"/>
    </row>
    <row r="122" spans="1:9" x14ac:dyDescent="0.25">
      <c r="A122" s="1690"/>
      <c r="B122" s="1689"/>
      <c r="C122" s="1689"/>
      <c r="D122" s="1689"/>
      <c r="E122" s="1689"/>
      <c r="F122" s="1689"/>
      <c r="G122" s="1690"/>
      <c r="H122" s="1780"/>
      <c r="I122" s="1689"/>
    </row>
    <row r="123" spans="1:9" x14ac:dyDescent="0.25">
      <c r="A123" s="1690"/>
      <c r="B123" s="1684"/>
      <c r="C123" s="1689"/>
      <c r="D123" s="1689"/>
      <c r="E123" s="1689"/>
      <c r="F123" s="1689"/>
      <c r="G123" s="1689"/>
      <c r="H123" s="1781"/>
      <c r="I123" s="1689"/>
    </row>
    <row r="124" spans="1:9" x14ac:dyDescent="0.25">
      <c r="A124" s="1690"/>
      <c r="B124" s="1684"/>
      <c r="C124" s="1689"/>
      <c r="D124" s="1689"/>
      <c r="E124" s="1689"/>
      <c r="F124" s="1689"/>
      <c r="G124" s="1689"/>
      <c r="H124" s="1781"/>
      <c r="I124" s="1689"/>
    </row>
    <row r="125" spans="1:9" x14ac:dyDescent="0.25">
      <c r="A125" s="1690"/>
      <c r="B125" s="1684"/>
      <c r="C125" s="1689"/>
      <c r="D125" s="1689"/>
      <c r="E125" s="1689"/>
      <c r="F125" s="1689"/>
      <c r="G125" s="1689"/>
      <c r="H125" s="1781"/>
      <c r="I125" s="1689"/>
    </row>
    <row r="126" spans="1:9" x14ac:dyDescent="0.25">
      <c r="A126" s="1690"/>
      <c r="B126" s="1684"/>
      <c r="C126" s="1689"/>
      <c r="D126" s="1689"/>
      <c r="E126" s="1689"/>
      <c r="F126" s="1689"/>
      <c r="G126" s="1689"/>
      <c r="H126" s="1781"/>
      <c r="I126" s="1689"/>
    </row>
    <row r="127" spans="1:9" x14ac:dyDescent="0.25">
      <c r="A127" s="1690"/>
      <c r="B127" s="1684"/>
      <c r="C127" s="1689"/>
      <c r="D127" s="1689"/>
      <c r="E127" s="1689"/>
      <c r="F127" s="1689"/>
      <c r="G127" s="1689"/>
      <c r="H127" s="1781"/>
      <c r="I127" s="1689"/>
    </row>
    <row r="128" spans="1:9" x14ac:dyDescent="0.25">
      <c r="A128" s="1690"/>
      <c r="B128" s="1689"/>
      <c r="C128" s="1689"/>
      <c r="D128" s="1689"/>
      <c r="E128" s="1689"/>
      <c r="F128" s="1689"/>
      <c r="G128" s="1689"/>
      <c r="H128" s="1781"/>
      <c r="I128" s="1689"/>
    </row>
    <row r="129" spans="1:11" x14ac:dyDescent="0.25">
      <c r="A129" s="1690"/>
      <c r="B129" s="1689"/>
      <c r="C129" s="1689"/>
      <c r="D129" s="1689"/>
      <c r="E129" s="1689"/>
      <c r="F129" s="1689"/>
      <c r="G129" s="1689"/>
      <c r="H129" s="1781"/>
      <c r="I129" s="1689"/>
    </row>
    <row r="130" spans="1:11" x14ac:dyDescent="0.25">
      <c r="A130" s="1690"/>
      <c r="B130" s="1690"/>
      <c r="C130" s="1683"/>
      <c r="D130" s="1690"/>
      <c r="E130" s="1753"/>
      <c r="F130" s="1690"/>
      <c r="G130" s="1690"/>
      <c r="H130" s="1690"/>
      <c r="I130" s="1690"/>
      <c r="K130" s="1677">
        <f>H122/2</f>
        <v>0</v>
      </c>
    </row>
    <row r="132" spans="1:11" x14ac:dyDescent="0.25">
      <c r="A132" s="1690"/>
      <c r="B132" s="1777"/>
      <c r="C132" s="1778"/>
      <c r="D132" s="1778"/>
      <c r="E132" s="1779"/>
      <c r="F132" s="1778"/>
      <c r="G132" s="1690"/>
      <c r="H132" s="1684"/>
      <c r="I132" s="1689"/>
    </row>
    <row r="133" spans="1:11" x14ac:dyDescent="0.25">
      <c r="A133" s="1690"/>
      <c r="B133" s="1684"/>
      <c r="C133" s="1779"/>
      <c r="D133" s="1779"/>
      <c r="E133" s="1689"/>
      <c r="F133" s="1778"/>
      <c r="G133" s="1690"/>
      <c r="H133" s="1780"/>
      <c r="I133" s="1689"/>
    </row>
    <row r="134" spans="1:11" x14ac:dyDescent="0.25">
      <c r="A134" s="1690"/>
      <c r="B134" s="1689"/>
      <c r="C134" s="1689"/>
      <c r="D134" s="1689"/>
      <c r="E134" s="1689"/>
      <c r="F134" s="1689"/>
      <c r="G134" s="1690"/>
      <c r="H134" s="1780"/>
      <c r="I134" s="1689"/>
    </row>
    <row r="135" spans="1:11" x14ac:dyDescent="0.25">
      <c r="A135" s="1690"/>
      <c r="B135" s="1684"/>
      <c r="C135" s="1689"/>
      <c r="D135" s="1689"/>
      <c r="E135" s="1689"/>
      <c r="F135" s="1689"/>
      <c r="G135" s="1689"/>
      <c r="H135" s="1781"/>
      <c r="I135" s="1689"/>
    </row>
    <row r="136" spans="1:11" x14ac:dyDescent="0.25">
      <c r="A136" s="1690"/>
      <c r="B136" s="1684"/>
      <c r="C136" s="1689"/>
      <c r="D136" s="1689"/>
      <c r="E136" s="1689"/>
      <c r="F136" s="1689"/>
      <c r="G136" s="1689"/>
      <c r="H136" s="1781"/>
      <c r="I136" s="1689"/>
    </row>
    <row r="137" spans="1:11" x14ac:dyDescent="0.25">
      <c r="A137" s="1690"/>
      <c r="B137" s="1684"/>
      <c r="C137" s="1689"/>
      <c r="D137" s="1689"/>
      <c r="E137" s="1689"/>
      <c r="F137" s="1689"/>
      <c r="G137" s="1689"/>
      <c r="H137" s="1781"/>
      <c r="I137" s="1689"/>
    </row>
    <row r="138" spans="1:11" x14ac:dyDescent="0.25">
      <c r="A138" s="1690"/>
      <c r="B138" s="1684"/>
      <c r="C138" s="1689"/>
      <c r="D138" s="1689"/>
      <c r="E138" s="1689"/>
      <c r="F138" s="1689"/>
      <c r="G138" s="1689"/>
      <c r="H138" s="1781"/>
      <c r="I138" s="1689"/>
    </row>
    <row r="139" spans="1:11" x14ac:dyDescent="0.25">
      <c r="A139" s="1690"/>
      <c r="B139" s="1684"/>
      <c r="C139" s="1689"/>
      <c r="D139" s="1689"/>
      <c r="E139" s="1689"/>
      <c r="F139" s="1689"/>
      <c r="G139" s="1689"/>
      <c r="H139" s="1781"/>
      <c r="I139" s="1689"/>
    </row>
    <row r="140" spans="1:11" x14ac:dyDescent="0.25">
      <c r="A140" s="1690"/>
      <c r="B140" s="1689"/>
      <c r="C140" s="1689"/>
      <c r="D140" s="1689"/>
      <c r="E140" s="1689"/>
      <c r="F140" s="1689"/>
      <c r="G140" s="1689"/>
      <c r="H140" s="1781"/>
      <c r="I140" s="1689"/>
    </row>
    <row r="141" spans="1:11" x14ac:dyDescent="0.25">
      <c r="A141" s="1690"/>
      <c r="B141" s="1689"/>
      <c r="C141" s="1689"/>
      <c r="D141" s="1689"/>
      <c r="E141" s="1689"/>
      <c r="F141" s="1689"/>
      <c r="G141" s="1689"/>
      <c r="H141" s="1781"/>
      <c r="I141" s="1689"/>
    </row>
    <row r="142" spans="1:11" x14ac:dyDescent="0.25">
      <c r="A142" s="1690"/>
      <c r="B142" s="1690"/>
      <c r="C142" s="1683"/>
      <c r="D142" s="1690"/>
      <c r="E142" s="1753"/>
      <c r="F142" s="1690"/>
      <c r="G142" s="1690"/>
      <c r="H142" s="1690"/>
      <c r="I142" s="1690"/>
    </row>
    <row r="144" spans="1:11" x14ac:dyDescent="0.25">
      <c r="A144" s="1784"/>
      <c r="B144" s="1784"/>
      <c r="C144" s="1785"/>
      <c r="D144" s="1784"/>
      <c r="E144" s="1786"/>
      <c r="F144" s="1784"/>
      <c r="G144" s="1784"/>
      <c r="H144" s="1784"/>
      <c r="I144" s="1784"/>
    </row>
    <row r="164" spans="2:10" x14ac:dyDescent="0.25">
      <c r="B164" s="97"/>
      <c r="G164" s="97"/>
    </row>
    <row r="165" spans="2:10" x14ac:dyDescent="0.25">
      <c r="B165" s="1787"/>
      <c r="G165" s="1787"/>
    </row>
    <row r="168" spans="2:10" x14ac:dyDescent="0.25">
      <c r="B168" s="1788"/>
      <c r="G168" s="1788"/>
    </row>
    <row r="169" spans="2:10" x14ac:dyDescent="0.25">
      <c r="B169" s="1789"/>
      <c r="G169" s="1789"/>
    </row>
    <row r="174" spans="2:10" x14ac:dyDescent="0.25">
      <c r="J174" s="1677">
        <f>J71+J83</f>
        <v>10075000</v>
      </c>
    </row>
  </sheetData>
  <mergeCells count="5">
    <mergeCell ref="A2:I2"/>
    <mergeCell ref="A4:I4"/>
    <mergeCell ref="H23:I23"/>
    <mergeCell ref="B34:F34"/>
    <mergeCell ref="B55:F5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topLeftCell="A25" workbookViewId="0">
      <selection activeCell="M92" sqref="M92"/>
    </sheetView>
  </sheetViews>
  <sheetFormatPr defaultColWidth="9.140625" defaultRowHeight="15" x14ac:dyDescent="0.25"/>
  <cols>
    <col min="1" max="1" width="3.5703125" style="1" customWidth="1"/>
    <col min="2" max="2" width="8.28515625" style="2" customWidth="1"/>
    <col min="3" max="6" width="9.140625" style="2"/>
    <col min="7" max="7" width="11.7109375" style="2" customWidth="1"/>
    <col min="8" max="16384" width="9.140625" style="2"/>
  </cols>
  <sheetData>
    <row r="1" spans="1:12" x14ac:dyDescent="0.25">
      <c r="B1" s="2089" t="s">
        <v>2140</v>
      </c>
      <c r="C1" s="2089"/>
      <c r="D1" s="2089"/>
      <c r="E1" s="2089"/>
      <c r="F1" s="2089"/>
      <c r="G1" s="2089"/>
      <c r="H1" s="2089"/>
      <c r="I1" s="2089"/>
    </row>
    <row r="2" spans="1:12" x14ac:dyDescent="0.25">
      <c r="A2" s="1">
        <v>1</v>
      </c>
      <c r="B2" s="3" t="s">
        <v>2153</v>
      </c>
      <c r="F2" s="4">
        <v>19619</v>
      </c>
      <c r="H2" s="5"/>
      <c r="I2" s="5"/>
      <c r="K2" s="6"/>
      <c r="L2" s="2090"/>
    </row>
    <row r="3" spans="1:12" x14ac:dyDescent="0.25">
      <c r="F3" s="1"/>
      <c r="H3" s="7"/>
      <c r="I3" s="8"/>
      <c r="K3" s="6"/>
      <c r="L3" s="2090"/>
    </row>
    <row r="4" spans="1:12" x14ac:dyDescent="0.25">
      <c r="B4" s="3" t="s">
        <v>0</v>
      </c>
      <c r="F4" s="9">
        <v>1</v>
      </c>
      <c r="H4" s="7"/>
      <c r="I4" s="8"/>
      <c r="K4" s="10"/>
      <c r="L4" s="10"/>
    </row>
    <row r="5" spans="1:12" x14ac:dyDescent="0.25">
      <c r="F5" s="1"/>
      <c r="H5" s="7"/>
      <c r="I5" s="8"/>
    </row>
    <row r="6" spans="1:12" x14ac:dyDescent="0.25">
      <c r="B6" s="3" t="s">
        <v>1</v>
      </c>
      <c r="F6" s="9">
        <v>2015</v>
      </c>
      <c r="H6" s="7"/>
      <c r="I6" s="8"/>
    </row>
    <row r="7" spans="1:12" x14ac:dyDescent="0.25">
      <c r="F7" s="1"/>
      <c r="H7" s="7"/>
      <c r="I7" s="8"/>
    </row>
    <row r="8" spans="1:12" x14ac:dyDescent="0.25">
      <c r="B8" s="3" t="s">
        <v>2</v>
      </c>
      <c r="D8" s="11"/>
      <c r="E8" s="12">
        <f>RAM!D4</f>
        <v>2015</v>
      </c>
      <c r="F8" s="12">
        <f>RAM!E4</f>
        <v>20416</v>
      </c>
      <c r="H8" s="7"/>
      <c r="I8" s="8"/>
    </row>
    <row r="9" spans="1:12" x14ac:dyDescent="0.25">
      <c r="E9" s="12"/>
      <c r="F9" s="1"/>
      <c r="H9" s="7"/>
      <c r="I9" s="8"/>
      <c r="K9" s="13">
        <f>0.80335</f>
        <v>0.80335000000000001</v>
      </c>
    </row>
    <row r="10" spans="1:12" x14ac:dyDescent="0.25">
      <c r="B10" s="3" t="s">
        <v>3</v>
      </c>
      <c r="E10" s="12">
        <f>RAM!D5</f>
        <v>2027</v>
      </c>
      <c r="F10" s="12">
        <f>RAM!E5</f>
        <v>23006</v>
      </c>
      <c r="H10" s="7"/>
      <c r="I10" s="8"/>
      <c r="K10" s="13">
        <f>0.905285</f>
        <v>0.90528500000000001</v>
      </c>
    </row>
    <row r="11" spans="1:12" x14ac:dyDescent="0.25">
      <c r="B11" s="3" t="s">
        <v>4</v>
      </c>
      <c r="E11" s="12"/>
      <c r="F11" s="1"/>
      <c r="H11" s="7"/>
      <c r="I11" s="8"/>
    </row>
    <row r="12" spans="1:12" x14ac:dyDescent="0.25">
      <c r="B12" s="14"/>
      <c r="E12" s="12"/>
      <c r="F12" s="1"/>
      <c r="H12" s="7"/>
      <c r="I12" s="8"/>
    </row>
    <row r="13" spans="1:12" x14ac:dyDescent="0.25">
      <c r="B13" s="3" t="s">
        <v>5</v>
      </c>
      <c r="E13" s="12">
        <f>RAM!D6</f>
        <v>2037</v>
      </c>
      <c r="F13" s="12">
        <f>RAM!E6</f>
        <v>25413</v>
      </c>
      <c r="H13" s="7"/>
      <c r="I13" s="8"/>
    </row>
    <row r="14" spans="1:12" x14ac:dyDescent="0.25">
      <c r="B14" s="3" t="s">
        <v>6</v>
      </c>
      <c r="F14" s="1"/>
      <c r="H14" s="15"/>
      <c r="I14" s="8"/>
    </row>
    <row r="15" spans="1:12" x14ac:dyDescent="0.25">
      <c r="F15" s="1"/>
      <c r="H15" s="15"/>
      <c r="I15" s="8"/>
    </row>
    <row r="16" spans="1:12" x14ac:dyDescent="0.25">
      <c r="B16" s="3" t="s">
        <v>7</v>
      </c>
      <c r="C16" s="3"/>
      <c r="F16" s="9">
        <v>16</v>
      </c>
      <c r="H16" s="15"/>
      <c r="I16" s="8"/>
    </row>
    <row r="17" spans="1:14" x14ac:dyDescent="0.25">
      <c r="B17" s="3" t="s">
        <v>8</v>
      </c>
      <c r="C17" s="3"/>
      <c r="F17" s="9">
        <v>80</v>
      </c>
      <c r="G17" s="2" t="s">
        <v>9</v>
      </c>
    </row>
    <row r="18" spans="1:14" x14ac:dyDescent="0.25">
      <c r="B18" s="3" t="s">
        <v>10</v>
      </c>
      <c r="C18" s="3"/>
      <c r="F18" s="12">
        <v>70</v>
      </c>
      <c r="G18" s="2" t="s">
        <v>9</v>
      </c>
      <c r="N18" s="2">
        <f>5456+2072+585+636+1574+1059+2878+1157+216+439+1590+1010+3456+2234+2695+742+1322+1366+800+1200</f>
        <v>32487</v>
      </c>
    </row>
    <row r="19" spans="1:14" x14ac:dyDescent="0.25">
      <c r="F19" s="16" t="s">
        <v>11</v>
      </c>
      <c r="G19" s="16" t="s">
        <v>12</v>
      </c>
    </row>
    <row r="20" spans="1:14" x14ac:dyDescent="0.25">
      <c r="B20" s="3" t="s">
        <v>13</v>
      </c>
      <c r="C20" s="3"/>
      <c r="F20" s="17">
        <f>+RAM!E4*F17</f>
        <v>1633280</v>
      </c>
      <c r="G20" s="17">
        <f>+RAM!E4*F18</f>
        <v>1429120</v>
      </c>
    </row>
    <row r="21" spans="1:14" x14ac:dyDescent="0.25">
      <c r="B21" s="3" t="s">
        <v>14</v>
      </c>
      <c r="C21" s="3"/>
      <c r="F21" s="17">
        <f>+RAM!E5*F17</f>
        <v>1840480</v>
      </c>
      <c r="G21" s="17">
        <f>+RAM!E5*F18</f>
        <v>1610420</v>
      </c>
    </row>
    <row r="22" spans="1:14" x14ac:dyDescent="0.25">
      <c r="B22" s="3" t="s">
        <v>15</v>
      </c>
      <c r="C22" s="3"/>
      <c r="F22" s="17">
        <f>+RAM!E6*F17</f>
        <v>2033040</v>
      </c>
      <c r="G22" s="17">
        <f>+RAM!E6*F18</f>
        <v>1778910</v>
      </c>
    </row>
    <row r="23" spans="1:14" x14ac:dyDescent="0.25">
      <c r="F23" s="16" t="s">
        <v>11</v>
      </c>
      <c r="G23" s="16" t="s">
        <v>12</v>
      </c>
    </row>
    <row r="24" spans="1:14" x14ac:dyDescent="0.25">
      <c r="B24" s="3" t="s">
        <v>13</v>
      </c>
      <c r="C24" s="3"/>
      <c r="F24" s="17">
        <f>+ROUND(F20/(F16*60),0)</f>
        <v>1701</v>
      </c>
      <c r="G24" s="17">
        <f>+ROUND(G20/(F16*60),0)</f>
        <v>1489</v>
      </c>
    </row>
    <row r="25" spans="1:14" x14ac:dyDescent="0.25">
      <c r="B25" s="3" t="s">
        <v>14</v>
      </c>
      <c r="C25" s="3"/>
      <c r="D25" s="18" t="s">
        <v>16</v>
      </c>
      <c r="F25" s="17">
        <f>+ROUNDUP((($F$17*RAM!$E$5)/(F16*60)),0)</f>
        <v>1918</v>
      </c>
      <c r="G25" s="17">
        <f>+ROUNDUP((($F$18*RAM!$E$5)/(F16*60)),0)</f>
        <v>1678</v>
      </c>
    </row>
    <row r="26" spans="1:14" x14ac:dyDescent="0.25">
      <c r="B26" s="3" t="s">
        <v>15</v>
      </c>
      <c r="C26" s="3"/>
      <c r="D26" s="18" t="s">
        <v>16</v>
      </c>
      <c r="F26" s="17">
        <f>+ROUNDUP((($F$17*RAM!$E$6)/(F16*60)),0)</f>
        <v>2118</v>
      </c>
      <c r="G26" s="17">
        <f>+ROUNDUP((($F$18*RAM!$E$6)/(F16*60)),0)</f>
        <v>1854</v>
      </c>
    </row>
    <row r="27" spans="1:14" x14ac:dyDescent="0.25">
      <c r="A27" s="19"/>
      <c r="B27" s="20"/>
      <c r="C27" s="20"/>
      <c r="D27" s="20"/>
      <c r="E27" s="20"/>
      <c r="F27" s="19"/>
      <c r="G27" s="20"/>
    </row>
    <row r="28" spans="1:14" x14ac:dyDescent="0.25">
      <c r="A28" s="21">
        <v>2</v>
      </c>
      <c r="B28" s="20"/>
      <c r="C28" s="11" t="s">
        <v>17</v>
      </c>
      <c r="D28" s="20"/>
      <c r="E28" s="20"/>
      <c r="F28" s="20"/>
      <c r="G28" s="20"/>
    </row>
    <row r="30" spans="1:14" x14ac:dyDescent="0.25">
      <c r="C30" s="22" t="s">
        <v>18</v>
      </c>
      <c r="E30" s="23">
        <v>120</v>
      </c>
      <c r="F30" s="2" t="s">
        <v>19</v>
      </c>
      <c r="G30" s="24">
        <f>+E30*F22/1000</f>
        <v>243964.79999999999</v>
      </c>
      <c r="H30" s="2" t="s">
        <v>20</v>
      </c>
    </row>
    <row r="31" spans="1:14" x14ac:dyDescent="0.25">
      <c r="C31" s="25" t="s">
        <v>21</v>
      </c>
      <c r="D31" s="26">
        <v>0</v>
      </c>
      <c r="E31" s="2" t="s">
        <v>22</v>
      </c>
      <c r="G31" s="24">
        <f>+F22*D31/1000</f>
        <v>0</v>
      </c>
      <c r="H31" s="2" t="s">
        <v>20</v>
      </c>
    </row>
    <row r="32" spans="1:14" x14ac:dyDescent="0.25">
      <c r="F32" s="2" t="s">
        <v>23</v>
      </c>
      <c r="G32" s="27">
        <f>SUM(G30:G31)</f>
        <v>243964.79999999999</v>
      </c>
      <c r="H32" s="2" t="s">
        <v>20</v>
      </c>
    </row>
    <row r="33" spans="1:9" x14ac:dyDescent="0.25">
      <c r="C33" s="28" t="s">
        <v>24</v>
      </c>
      <c r="G33" s="24">
        <f>+G32*0.4</f>
        <v>97585.919999999998</v>
      </c>
      <c r="H33" s="2" t="s">
        <v>20</v>
      </c>
    </row>
    <row r="34" spans="1:9" x14ac:dyDescent="0.25">
      <c r="F34" s="29" t="s">
        <v>23</v>
      </c>
      <c r="G34" s="30">
        <f>SUM(G32:G33)</f>
        <v>341550.72</v>
      </c>
      <c r="H34" s="2" t="s">
        <v>20</v>
      </c>
    </row>
    <row r="35" spans="1:9" x14ac:dyDescent="0.25">
      <c r="G35" s="24"/>
    </row>
    <row r="36" spans="1:9" x14ac:dyDescent="0.25">
      <c r="F36" s="31" t="s">
        <v>25</v>
      </c>
      <c r="G36" s="32">
        <f>+G34-G35</f>
        <v>341550.72</v>
      </c>
      <c r="H36" s="2" t="s">
        <v>20</v>
      </c>
      <c r="I36" s="24"/>
    </row>
    <row r="38" spans="1:9" x14ac:dyDescent="0.25">
      <c r="A38" s="1">
        <v>3</v>
      </c>
      <c r="C38" s="33" t="s">
        <v>26</v>
      </c>
    </row>
    <row r="39" spans="1:9" x14ac:dyDescent="0.25">
      <c r="C39" s="2" t="s">
        <v>27</v>
      </c>
      <c r="E39" s="1">
        <f>+E30</f>
        <v>120</v>
      </c>
      <c r="F39" s="2" t="s">
        <v>28</v>
      </c>
    </row>
    <row r="40" spans="1:9" x14ac:dyDescent="0.25">
      <c r="C40" s="2" t="s">
        <v>29</v>
      </c>
      <c r="G40" s="34">
        <f>+G36</f>
        <v>341550.72</v>
      </c>
      <c r="H40" s="2" t="s">
        <v>20</v>
      </c>
    </row>
    <row r="41" spans="1:9" x14ac:dyDescent="0.25">
      <c r="C41" s="28" t="s">
        <v>30</v>
      </c>
      <c r="E41" s="1">
        <f>365-E39</f>
        <v>245</v>
      </c>
      <c r="F41" s="2" t="s">
        <v>28</v>
      </c>
      <c r="G41" s="34">
        <f>E41*F22/1000</f>
        <v>498094.8</v>
      </c>
      <c r="H41" s="2" t="s">
        <v>20</v>
      </c>
    </row>
    <row r="42" spans="1:9" x14ac:dyDescent="0.25">
      <c r="E42" s="2" t="s">
        <v>31</v>
      </c>
      <c r="G42" s="35">
        <f>SUM(G40:G41)</f>
        <v>839645.52</v>
      </c>
      <c r="H42" s="2" t="s">
        <v>20</v>
      </c>
    </row>
    <row r="43" spans="1:9" x14ac:dyDescent="0.25">
      <c r="C43" s="36"/>
      <c r="G43" s="11">
        <f>E41</f>
        <v>245</v>
      </c>
      <c r="H43" s="2" t="s">
        <v>19</v>
      </c>
    </row>
    <row r="44" spans="1:9" x14ac:dyDescent="0.25">
      <c r="E44" s="2" t="s">
        <v>32</v>
      </c>
      <c r="G44" s="11">
        <v>16</v>
      </c>
      <c r="H44" s="2">
        <v>16</v>
      </c>
      <c r="I44" s="2">
        <v>16</v>
      </c>
    </row>
    <row r="45" spans="1:9" x14ac:dyDescent="0.25">
      <c r="E45" s="2" t="s">
        <v>33</v>
      </c>
      <c r="G45" s="11">
        <f>+ROUNDUP((G42*1000)/(G43*G44*60),0)</f>
        <v>3570</v>
      </c>
      <c r="H45" s="37">
        <f>G45*K10</f>
        <v>3231.8674500000002</v>
      </c>
      <c r="I45" s="37">
        <f>G45*K9</f>
        <v>2867.9594999999999</v>
      </c>
    </row>
    <row r="46" spans="1:9" x14ac:dyDescent="0.25">
      <c r="D46" s="2" t="s">
        <v>34</v>
      </c>
      <c r="E46" s="11" t="s">
        <v>35</v>
      </c>
      <c r="G46" s="38">
        <f>+G45*G44*60/10^6</f>
        <v>3.4272</v>
      </c>
      <c r="H46" s="38">
        <f>+H45*H44*60/10^6</f>
        <v>3.1025927520000005</v>
      </c>
      <c r="I46" s="38">
        <f>+I45*I44*60/10^6</f>
        <v>2.7532411200000002</v>
      </c>
    </row>
    <row r="47" spans="1:9" x14ac:dyDescent="0.25">
      <c r="E47" s="11"/>
      <c r="G47" s="38"/>
    </row>
    <row r="48" spans="1:9" x14ac:dyDescent="0.25">
      <c r="C48" s="3" t="s">
        <v>34</v>
      </c>
      <c r="D48" s="17">
        <f>+G45</f>
        <v>3570</v>
      </c>
      <c r="E48" s="39">
        <f>+G46</f>
        <v>3.4272</v>
      </c>
      <c r="F48" s="40" t="s">
        <v>35</v>
      </c>
      <c r="G48" s="38"/>
    </row>
    <row r="49" spans="1:8" x14ac:dyDescent="0.25">
      <c r="C49" s="3" t="s">
        <v>36</v>
      </c>
      <c r="D49" s="41">
        <f>H45</f>
        <v>3231.8674500000002</v>
      </c>
      <c r="E49" s="39">
        <f>H46</f>
        <v>3.1025927520000005</v>
      </c>
      <c r="F49" s="40" t="s">
        <v>35</v>
      </c>
      <c r="G49" s="38"/>
    </row>
    <row r="50" spans="1:8" x14ac:dyDescent="0.25">
      <c r="C50" s="3" t="s">
        <v>37</v>
      </c>
      <c r="D50" s="41">
        <f>I45</f>
        <v>2867.9594999999999</v>
      </c>
      <c r="E50" s="39">
        <f>I46</f>
        <v>2.7532411200000002</v>
      </c>
      <c r="F50" s="40" t="s">
        <v>35</v>
      </c>
      <c r="G50" s="38"/>
    </row>
    <row r="51" spans="1:8" x14ac:dyDescent="0.25">
      <c r="C51" s="3"/>
      <c r="E51" s="11"/>
      <c r="G51" s="38"/>
    </row>
    <row r="52" spans="1:8" x14ac:dyDescent="0.25">
      <c r="E52" s="11"/>
      <c r="G52" s="38"/>
    </row>
    <row r="53" spans="1:8" x14ac:dyDescent="0.25">
      <c r="A53" s="1">
        <v>4</v>
      </c>
      <c r="C53" s="2" t="s">
        <v>38</v>
      </c>
      <c r="G53" s="11">
        <v>600</v>
      </c>
      <c r="H53" s="2" t="s">
        <v>39</v>
      </c>
    </row>
    <row r="54" spans="1:8" x14ac:dyDescent="0.25">
      <c r="B54" s="42"/>
      <c r="C54" s="11" t="s">
        <v>40</v>
      </c>
      <c r="D54" s="20"/>
      <c r="E54" s="20"/>
      <c r="F54" s="20"/>
      <c r="G54" s="20"/>
      <c r="H54" s="28"/>
    </row>
    <row r="57" spans="1:8" x14ac:dyDescent="0.25">
      <c r="A57" s="1">
        <v>5</v>
      </c>
      <c r="C57" s="43" t="s">
        <v>41</v>
      </c>
    </row>
    <row r="58" spans="1:8" x14ac:dyDescent="0.25">
      <c r="C58" s="3" t="s">
        <v>42</v>
      </c>
      <c r="E58" s="2">
        <f>+F16</f>
        <v>16</v>
      </c>
      <c r="G58" s="29"/>
      <c r="H58" s="44"/>
    </row>
    <row r="59" spans="1:8" x14ac:dyDescent="0.25">
      <c r="C59" s="3" t="s">
        <v>43</v>
      </c>
      <c r="E59" s="17">
        <f>+F26</f>
        <v>2118</v>
      </c>
      <c r="F59" s="45" t="s">
        <v>33</v>
      </c>
      <c r="G59" s="18" t="s">
        <v>35</v>
      </c>
      <c r="H59" s="46">
        <f>+F22/10^6</f>
        <v>2.0330400000000002</v>
      </c>
    </row>
    <row r="60" spans="1:8" x14ac:dyDescent="0.25">
      <c r="C60" s="3" t="s">
        <v>36</v>
      </c>
      <c r="E60" s="17">
        <f>+F25</f>
        <v>1918</v>
      </c>
      <c r="F60" s="45" t="s">
        <v>33</v>
      </c>
      <c r="G60" s="18" t="s">
        <v>35</v>
      </c>
      <c r="H60" s="46">
        <f>+F21/10^6</f>
        <v>1.8404799999999999</v>
      </c>
    </row>
    <row r="61" spans="1:8" x14ac:dyDescent="0.25">
      <c r="C61" s="3" t="s">
        <v>37</v>
      </c>
      <c r="E61" s="17">
        <f>+F24</f>
        <v>1701</v>
      </c>
      <c r="F61" s="45" t="s">
        <v>33</v>
      </c>
      <c r="G61" s="18" t="s">
        <v>35</v>
      </c>
      <c r="H61" s="46">
        <f>+F20/10^6</f>
        <v>1.6332800000000001</v>
      </c>
    </row>
    <row r="62" spans="1:8" x14ac:dyDescent="0.25">
      <c r="C62" s="2091" t="s">
        <v>44</v>
      </c>
      <c r="D62" s="2091"/>
      <c r="E62" s="2091"/>
      <c r="F62" s="2091"/>
      <c r="G62" s="2091"/>
    </row>
    <row r="63" spans="1:8" x14ac:dyDescent="0.25">
      <c r="C63" s="2091"/>
      <c r="D63" s="2091"/>
      <c r="E63" s="2091"/>
      <c r="F63" s="2091"/>
      <c r="G63" s="2091"/>
      <c r="H63" s="11" t="s">
        <v>45</v>
      </c>
    </row>
    <row r="65" spans="1:9" x14ac:dyDescent="0.25">
      <c r="A65" s="1">
        <v>6</v>
      </c>
      <c r="C65" s="11" t="s">
        <v>46</v>
      </c>
    </row>
    <row r="66" spans="1:9" x14ac:dyDescent="0.25">
      <c r="C66" s="36" t="s">
        <v>42</v>
      </c>
      <c r="E66" s="2">
        <f>+F16</f>
        <v>16</v>
      </c>
      <c r="G66" s="29"/>
      <c r="H66" s="47"/>
    </row>
    <row r="67" spans="1:9" x14ac:dyDescent="0.25">
      <c r="C67" s="36" t="s">
        <v>43</v>
      </c>
      <c r="E67" s="2">
        <f>G26</f>
        <v>1854</v>
      </c>
      <c r="F67" s="2" t="s">
        <v>33</v>
      </c>
      <c r="G67" s="29" t="s">
        <v>35</v>
      </c>
      <c r="H67" s="44">
        <f>+G26*16*60/10^6</f>
        <v>1.7798400000000001</v>
      </c>
    </row>
    <row r="68" spans="1:9" x14ac:dyDescent="0.25">
      <c r="C68" s="36" t="s">
        <v>36</v>
      </c>
      <c r="E68" s="48">
        <f>G25</f>
        <v>1678</v>
      </c>
      <c r="F68" s="2" t="s">
        <v>33</v>
      </c>
      <c r="G68" s="29" t="s">
        <v>35</v>
      </c>
      <c r="H68" s="44">
        <f>+G25*16*60/10^6</f>
        <v>1.6108800000000001</v>
      </c>
    </row>
    <row r="69" spans="1:9" x14ac:dyDescent="0.25">
      <c r="C69" s="36" t="s">
        <v>37</v>
      </c>
      <c r="E69" s="48">
        <f>G24</f>
        <v>1489</v>
      </c>
      <c r="F69" s="2" t="s">
        <v>33</v>
      </c>
      <c r="G69" s="29" t="s">
        <v>35</v>
      </c>
      <c r="H69" s="44">
        <f>+G24*16*60/10^6</f>
        <v>1.42944</v>
      </c>
    </row>
    <row r="70" spans="1:9" x14ac:dyDescent="0.25">
      <c r="C70" s="11" t="s">
        <v>47</v>
      </c>
      <c r="E70" s="48"/>
      <c r="G70" s="29"/>
    </row>
    <row r="71" spans="1:9" x14ac:dyDescent="0.25">
      <c r="C71" s="11" t="s">
        <v>48</v>
      </c>
      <c r="E71" s="48"/>
      <c r="G71" s="29"/>
      <c r="H71" s="47" t="s">
        <v>49</v>
      </c>
    </row>
    <row r="72" spans="1:9" x14ac:dyDescent="0.25">
      <c r="C72" s="36"/>
      <c r="E72" s="48"/>
      <c r="G72" s="29"/>
      <c r="H72" s="47"/>
    </row>
    <row r="74" spans="1:9" x14ac:dyDescent="0.25">
      <c r="A74" s="1">
        <v>7</v>
      </c>
      <c r="C74" s="11" t="s">
        <v>50</v>
      </c>
    </row>
    <row r="76" spans="1:9" x14ac:dyDescent="0.25">
      <c r="C76" s="2" t="s">
        <v>51</v>
      </c>
      <c r="F76" s="2">
        <f>+G21/1000</f>
        <v>1610.42</v>
      </c>
      <c r="G76" s="2" t="s">
        <v>20</v>
      </c>
    </row>
    <row r="77" spans="1:9" x14ac:dyDescent="0.25">
      <c r="C77" s="2" t="s">
        <v>52</v>
      </c>
      <c r="F77" s="2">
        <f>+F76</f>
        <v>1610.42</v>
      </c>
      <c r="G77" s="28" t="s">
        <v>53</v>
      </c>
      <c r="H77" s="24">
        <f>+F76/2.5</f>
        <v>644.16800000000001</v>
      </c>
      <c r="I77" s="2" t="s">
        <v>54</v>
      </c>
    </row>
    <row r="78" spans="1:9" x14ac:dyDescent="0.25">
      <c r="C78" s="49" t="s">
        <v>55</v>
      </c>
      <c r="G78" s="28"/>
      <c r="H78" s="50">
        <v>0</v>
      </c>
      <c r="I78" s="24" t="s">
        <v>54</v>
      </c>
    </row>
    <row r="79" spans="1:9" x14ac:dyDescent="0.25">
      <c r="C79" s="49"/>
      <c r="G79" s="51" t="s">
        <v>56</v>
      </c>
      <c r="H79" s="52">
        <f>+H77-H78</f>
        <v>644.16800000000001</v>
      </c>
      <c r="I79" s="24" t="s">
        <v>54</v>
      </c>
    </row>
    <row r="80" spans="1:9" x14ac:dyDescent="0.25">
      <c r="C80" s="2" t="s">
        <v>57</v>
      </c>
      <c r="D80" s="26">
        <v>26</v>
      </c>
      <c r="E80" s="26">
        <v>13</v>
      </c>
      <c r="F80" s="26">
        <v>3</v>
      </c>
      <c r="G80" s="51" t="s">
        <v>58</v>
      </c>
      <c r="H80" s="24">
        <f>+D80*E80*F80</f>
        <v>1014</v>
      </c>
    </row>
    <row r="81" spans="1:16" x14ac:dyDescent="0.25">
      <c r="F81" s="31" t="s">
        <v>59</v>
      </c>
      <c r="H81" s="27">
        <f>SUM(H80:H80)</f>
        <v>1014</v>
      </c>
      <c r="I81" s="2" t="s">
        <v>60</v>
      </c>
    </row>
    <row r="82" spans="1:16" x14ac:dyDescent="0.25">
      <c r="A82" s="1">
        <v>7</v>
      </c>
      <c r="C82" s="11" t="s">
        <v>61</v>
      </c>
      <c r="F82" s="31"/>
      <c r="H82" s="10"/>
    </row>
    <row r="83" spans="1:16" x14ac:dyDescent="0.25">
      <c r="D83" s="2" t="s">
        <v>62</v>
      </c>
      <c r="F83" s="11">
        <f>+ROUNDUP(G21/10^6,2)</f>
        <v>1.62</v>
      </c>
      <c r="G83" s="2" t="s">
        <v>35</v>
      </c>
      <c r="H83" s="31"/>
    </row>
    <row r="84" spans="1:16" x14ac:dyDescent="0.25">
      <c r="D84" s="2" t="s">
        <v>63</v>
      </c>
      <c r="F84" s="53">
        <f>RAM!E8</f>
        <v>2.4300000000000002</v>
      </c>
      <c r="G84" s="2" t="s">
        <v>35</v>
      </c>
      <c r="H84" s="54"/>
    </row>
    <row r="85" spans="1:16" x14ac:dyDescent="0.25">
      <c r="D85" s="2" t="s">
        <v>64</v>
      </c>
      <c r="F85" s="53">
        <v>0</v>
      </c>
      <c r="H85" s="54"/>
    </row>
    <row r="86" spans="1:16" x14ac:dyDescent="0.25">
      <c r="D86" s="2" t="s">
        <v>65</v>
      </c>
      <c r="F86" s="53">
        <f>F84-F85</f>
        <v>2.4300000000000002</v>
      </c>
      <c r="H86" s="54"/>
    </row>
    <row r="87" spans="1:16" x14ac:dyDescent="0.25">
      <c r="C87" s="49"/>
      <c r="D87" s="55" t="s">
        <v>66</v>
      </c>
      <c r="E87" s="56">
        <v>5</v>
      </c>
      <c r="F87" s="31" t="s">
        <v>35</v>
      </c>
      <c r="H87" s="10"/>
    </row>
    <row r="89" spans="1:16" x14ac:dyDescent="0.25">
      <c r="A89" s="1">
        <v>8</v>
      </c>
      <c r="C89" s="11" t="s">
        <v>67</v>
      </c>
      <c r="J89" s="1965" t="s">
        <v>2168</v>
      </c>
      <c r="K89" s="1965"/>
      <c r="L89" s="1965"/>
    </row>
    <row r="90" spans="1:16" x14ac:dyDescent="0.25">
      <c r="C90" s="2" t="s">
        <v>68</v>
      </c>
      <c r="D90" s="11">
        <f>G25</f>
        <v>1678</v>
      </c>
    </row>
    <row r="91" spans="1:16" x14ac:dyDescent="0.25">
      <c r="C91" s="2" t="s">
        <v>69</v>
      </c>
      <c r="E91" s="26">
        <v>150</v>
      </c>
      <c r="F91" s="2" t="s">
        <v>70</v>
      </c>
      <c r="G91" s="24">
        <f>+G25*E91/1000</f>
        <v>251.7</v>
      </c>
      <c r="H91" s="2" t="s">
        <v>20</v>
      </c>
      <c r="N91" s="57"/>
      <c r="O91" s="57"/>
      <c r="P91" s="57"/>
    </row>
    <row r="92" spans="1:16" x14ac:dyDescent="0.25">
      <c r="C92" s="2" t="s">
        <v>64</v>
      </c>
      <c r="G92" s="52">
        <v>0</v>
      </c>
    </row>
    <row r="93" spans="1:16" x14ac:dyDescent="0.25">
      <c r="F93" s="2" t="s">
        <v>71</v>
      </c>
      <c r="G93" s="58">
        <f>+G91-G92</f>
        <v>251.7</v>
      </c>
      <c r="H93" s="2" t="s">
        <v>20</v>
      </c>
    </row>
    <row r="94" spans="1:16" x14ac:dyDescent="0.25">
      <c r="F94" s="2" t="s">
        <v>66</v>
      </c>
      <c r="G94" s="11">
        <v>250</v>
      </c>
      <c r="H94" s="2" t="s">
        <v>72</v>
      </c>
    </row>
    <row r="95" spans="1:16" x14ac:dyDescent="0.25">
      <c r="G95" s="11"/>
    </row>
    <row r="97" spans="1:8" x14ac:dyDescent="0.25">
      <c r="A97" s="1">
        <v>9</v>
      </c>
      <c r="C97" s="11" t="s">
        <v>73</v>
      </c>
      <c r="D97" s="11"/>
      <c r="F97" s="36" t="s">
        <v>74</v>
      </c>
    </row>
    <row r="98" spans="1:8" x14ac:dyDescent="0.25">
      <c r="C98" s="36" t="s">
        <v>68</v>
      </c>
      <c r="D98" s="11">
        <f>G25</f>
        <v>1678</v>
      </c>
    </row>
    <row r="99" spans="1:8" x14ac:dyDescent="0.25">
      <c r="C99" s="28" t="s">
        <v>75</v>
      </c>
      <c r="E99" s="26">
        <v>30</v>
      </c>
      <c r="F99" s="36" t="s">
        <v>76</v>
      </c>
      <c r="G99" s="2">
        <f>+E99*D98</f>
        <v>50340</v>
      </c>
      <c r="H99" s="2" t="s">
        <v>77</v>
      </c>
    </row>
    <row r="100" spans="1:8" x14ac:dyDescent="0.25">
      <c r="C100" s="51"/>
      <c r="E100" s="59"/>
    </row>
    <row r="101" spans="1:8" x14ac:dyDescent="0.25">
      <c r="C101" s="11" t="s">
        <v>2167</v>
      </c>
    </row>
    <row r="103" spans="1:8" x14ac:dyDescent="0.25">
      <c r="A103" s="1">
        <v>10</v>
      </c>
      <c r="C103" s="11" t="s">
        <v>78</v>
      </c>
      <c r="D103" s="36"/>
      <c r="F103" s="36" t="s">
        <v>79</v>
      </c>
    </row>
    <row r="104" spans="1:8" x14ac:dyDescent="0.25">
      <c r="C104" s="11" t="s">
        <v>80</v>
      </c>
      <c r="D104" s="36"/>
      <c r="E104" s="2">
        <v>17613</v>
      </c>
    </row>
    <row r="105" spans="1:8" x14ac:dyDescent="0.25">
      <c r="C105" s="36" t="s">
        <v>68</v>
      </c>
      <c r="D105" s="11">
        <f>ROUNDUP(E104*55/960,0)</f>
        <v>1010</v>
      </c>
    </row>
    <row r="106" spans="1:8" x14ac:dyDescent="0.25">
      <c r="C106" s="28" t="s">
        <v>75</v>
      </c>
      <c r="E106" s="26">
        <v>30</v>
      </c>
      <c r="F106" s="36" t="s">
        <v>76</v>
      </c>
      <c r="G106" s="2">
        <f>+E106*D105</f>
        <v>30300</v>
      </c>
      <c r="H106" s="2" t="s">
        <v>77</v>
      </c>
    </row>
    <row r="107" spans="1:8" x14ac:dyDescent="0.25">
      <c r="C107" s="51"/>
      <c r="E107" s="59"/>
    </row>
    <row r="108" spans="1:8" x14ac:dyDescent="0.25">
      <c r="C108" s="11" t="s">
        <v>2165</v>
      </c>
    </row>
    <row r="109" spans="1:8" x14ac:dyDescent="0.25">
      <c r="C109" s="11"/>
    </row>
    <row r="110" spans="1:8" x14ac:dyDescent="0.25">
      <c r="A110" s="1">
        <v>11</v>
      </c>
      <c r="C110" s="11" t="s">
        <v>78</v>
      </c>
      <c r="D110" s="36"/>
      <c r="F110" s="36" t="s">
        <v>79</v>
      </c>
    </row>
    <row r="111" spans="1:8" x14ac:dyDescent="0.25">
      <c r="C111" s="11" t="s">
        <v>80</v>
      </c>
      <c r="D111" s="36"/>
      <c r="E111" s="2">
        <v>34160</v>
      </c>
    </row>
    <row r="112" spans="1:8" x14ac:dyDescent="0.25">
      <c r="C112" s="36" t="s">
        <v>68</v>
      </c>
      <c r="D112" s="11">
        <f>ROUNDUP(E111*55/960,0)</f>
        <v>1958</v>
      </c>
    </row>
    <row r="113" spans="1:17" x14ac:dyDescent="0.25">
      <c r="C113" s="28" t="s">
        <v>75</v>
      </c>
      <c r="E113" s="26">
        <v>30</v>
      </c>
      <c r="F113" s="36" t="s">
        <v>76</v>
      </c>
      <c r="G113" s="2">
        <f>+E113*D112</f>
        <v>58740</v>
      </c>
      <c r="H113" s="2" t="s">
        <v>77</v>
      </c>
    </row>
    <row r="114" spans="1:17" x14ac:dyDescent="0.25">
      <c r="C114" s="51"/>
      <c r="E114" s="59"/>
    </row>
    <row r="115" spans="1:17" x14ac:dyDescent="0.25">
      <c r="C115" s="11" t="s">
        <v>2166</v>
      </c>
    </row>
    <row r="116" spans="1:17" x14ac:dyDescent="0.25">
      <c r="C116" s="11"/>
    </row>
    <row r="118" spans="1:17" x14ac:dyDescent="0.25">
      <c r="A118" s="1">
        <v>1</v>
      </c>
      <c r="C118" s="11" t="s">
        <v>81</v>
      </c>
      <c r="D118" s="60">
        <v>55</v>
      </c>
      <c r="E118" s="61" t="s">
        <v>82</v>
      </c>
      <c r="F118" s="1665">
        <f>1.01^(E10-2011)</f>
        <v>1.1725786449236988</v>
      </c>
      <c r="G118" s="1665">
        <f>F118*55</f>
        <v>64.491825470803434</v>
      </c>
    </row>
    <row r="119" spans="1:17" ht="25.5" x14ac:dyDescent="0.25">
      <c r="C119" s="63" t="s">
        <v>83</v>
      </c>
      <c r="D119" s="63" t="s">
        <v>84</v>
      </c>
      <c r="E119" s="62" t="s">
        <v>85</v>
      </c>
      <c r="F119" s="63" t="s">
        <v>86</v>
      </c>
      <c r="G119" s="63" t="s">
        <v>64</v>
      </c>
      <c r="H119" s="63" t="s">
        <v>87</v>
      </c>
      <c r="I119" s="64" t="s">
        <v>88</v>
      </c>
    </row>
    <row r="120" spans="1:17" x14ac:dyDescent="0.25">
      <c r="B120" s="65"/>
      <c r="C120" s="1666">
        <v>1</v>
      </c>
      <c r="D120" s="1667"/>
      <c r="E120" s="1668">
        <v>5455</v>
      </c>
      <c r="F120" s="1669">
        <f>ROUND(E120*$G$118/2,0)</f>
        <v>175901</v>
      </c>
      <c r="G120" s="1669">
        <v>0</v>
      </c>
      <c r="H120" s="1669">
        <f>F120-G120</f>
        <v>175901</v>
      </c>
      <c r="I120" s="1670">
        <v>40000</v>
      </c>
      <c r="Q120" s="1"/>
    </row>
    <row r="121" spans="1:17" x14ac:dyDescent="0.25">
      <c r="B121" s="65"/>
      <c r="C121" s="1666">
        <v>2</v>
      </c>
      <c r="D121" s="1667"/>
      <c r="E121" s="1668">
        <v>2072</v>
      </c>
      <c r="F121" s="1669">
        <f t="shared" ref="F121:F141" si="0">ROUND(E121*$G$118/2,0)</f>
        <v>66814</v>
      </c>
      <c r="G121" s="1669">
        <v>0</v>
      </c>
      <c r="H121" s="1669">
        <f t="shared" ref="H121:H141" si="1">F121-G121</f>
        <v>66814</v>
      </c>
      <c r="I121" s="1670">
        <v>40000</v>
      </c>
      <c r="Q121" s="1"/>
    </row>
    <row r="122" spans="1:17" x14ac:dyDescent="0.25">
      <c r="B122" s="65"/>
      <c r="C122" s="1666">
        <v>3</v>
      </c>
      <c r="D122" s="1667"/>
      <c r="E122" s="1668">
        <v>585</v>
      </c>
      <c r="F122" s="1669">
        <f t="shared" si="0"/>
        <v>18864</v>
      </c>
      <c r="G122" s="1669">
        <v>0</v>
      </c>
      <c r="H122" s="1669">
        <f t="shared" si="1"/>
        <v>18864</v>
      </c>
      <c r="I122" s="1670">
        <v>40000</v>
      </c>
      <c r="Q122" s="1"/>
    </row>
    <row r="123" spans="1:17" s="67" customFormat="1" x14ac:dyDescent="0.25">
      <c r="A123" s="66"/>
      <c r="B123" s="65"/>
      <c r="C123" s="1666">
        <v>4</v>
      </c>
      <c r="D123" s="1667"/>
      <c r="E123" s="1668">
        <v>636</v>
      </c>
      <c r="F123" s="1669">
        <f t="shared" si="0"/>
        <v>20508</v>
      </c>
      <c r="G123" s="1669">
        <v>0</v>
      </c>
      <c r="H123" s="1669">
        <f t="shared" si="1"/>
        <v>20508</v>
      </c>
      <c r="I123" s="1670">
        <v>40000</v>
      </c>
      <c r="K123" s="68"/>
      <c r="Q123" s="66"/>
    </row>
    <row r="124" spans="1:17" s="67" customFormat="1" x14ac:dyDescent="0.25">
      <c r="A124" s="66"/>
      <c r="B124" s="65"/>
      <c r="C124" s="1666">
        <v>5</v>
      </c>
      <c r="D124" s="1667"/>
      <c r="E124" s="1668">
        <v>6464</v>
      </c>
      <c r="F124" s="1669">
        <f t="shared" si="0"/>
        <v>208438</v>
      </c>
      <c r="G124" s="1669">
        <v>0</v>
      </c>
      <c r="H124" s="1669">
        <f t="shared" si="1"/>
        <v>208438</v>
      </c>
      <c r="I124" s="1670">
        <v>40000</v>
      </c>
      <c r="Q124" s="66"/>
    </row>
    <row r="125" spans="1:17" s="67" customFormat="1" x14ac:dyDescent="0.25">
      <c r="A125" s="66"/>
      <c r="B125" s="65"/>
      <c r="C125" s="1666">
        <v>6</v>
      </c>
      <c r="D125" s="1667"/>
      <c r="E125" s="1671">
        <v>1574</v>
      </c>
      <c r="F125" s="1669">
        <f t="shared" si="0"/>
        <v>50755</v>
      </c>
      <c r="G125" s="1669">
        <v>0</v>
      </c>
      <c r="H125" s="1669">
        <f t="shared" si="1"/>
        <v>50755</v>
      </c>
      <c r="I125" s="1670">
        <v>40000</v>
      </c>
      <c r="Q125" s="66"/>
    </row>
    <row r="126" spans="1:17" s="67" customFormat="1" x14ac:dyDescent="0.25">
      <c r="A126" s="66"/>
      <c r="B126" s="65"/>
      <c r="C126" s="1666">
        <v>7</v>
      </c>
      <c r="D126" s="1667"/>
      <c r="E126" s="1668">
        <v>1059</v>
      </c>
      <c r="F126" s="1669">
        <f t="shared" si="0"/>
        <v>34148</v>
      </c>
      <c r="G126" s="1669">
        <v>0</v>
      </c>
      <c r="H126" s="1669">
        <f t="shared" si="1"/>
        <v>34148</v>
      </c>
      <c r="I126" s="1670">
        <v>40000</v>
      </c>
      <c r="Q126" s="66"/>
    </row>
    <row r="127" spans="1:17" s="67" customFormat="1" x14ac:dyDescent="0.25">
      <c r="A127" s="66"/>
      <c r="B127" s="65"/>
      <c r="C127" s="1666">
        <v>8</v>
      </c>
      <c r="D127" s="1667"/>
      <c r="E127" s="1668">
        <v>1278</v>
      </c>
      <c r="F127" s="1669">
        <f t="shared" si="0"/>
        <v>41210</v>
      </c>
      <c r="G127" s="1669">
        <v>0</v>
      </c>
      <c r="H127" s="1669">
        <f t="shared" si="1"/>
        <v>41210</v>
      </c>
      <c r="I127" s="1670">
        <v>40000</v>
      </c>
      <c r="Q127" s="66"/>
    </row>
    <row r="128" spans="1:17" s="67" customFormat="1" x14ac:dyDescent="0.25">
      <c r="A128" s="66"/>
      <c r="B128" s="65"/>
      <c r="C128" s="1666">
        <v>9</v>
      </c>
      <c r="D128" s="1667"/>
      <c r="E128" s="1668">
        <v>2878</v>
      </c>
      <c r="F128" s="1669">
        <f t="shared" si="0"/>
        <v>92804</v>
      </c>
      <c r="G128" s="1669">
        <v>0</v>
      </c>
      <c r="H128" s="1669">
        <f t="shared" si="1"/>
        <v>92804</v>
      </c>
      <c r="I128" s="1670">
        <v>40000</v>
      </c>
      <c r="Q128" s="66"/>
    </row>
    <row r="129" spans="1:17" s="67" customFormat="1" x14ac:dyDescent="0.25">
      <c r="A129" s="66"/>
      <c r="B129" s="65"/>
      <c r="C129" s="1666">
        <v>10</v>
      </c>
      <c r="D129" s="1667"/>
      <c r="E129" s="1668">
        <v>1157</v>
      </c>
      <c r="F129" s="1669">
        <f t="shared" si="0"/>
        <v>37309</v>
      </c>
      <c r="G129" s="1669">
        <v>0</v>
      </c>
      <c r="H129" s="1669">
        <f t="shared" si="1"/>
        <v>37309</v>
      </c>
      <c r="I129" s="1670">
        <v>40000</v>
      </c>
      <c r="Q129" s="66"/>
    </row>
    <row r="130" spans="1:17" s="67" customFormat="1" x14ac:dyDescent="0.25">
      <c r="A130" s="66"/>
      <c r="B130" s="65"/>
      <c r="C130" s="1666">
        <v>11</v>
      </c>
      <c r="D130" s="1667"/>
      <c r="E130" s="1668">
        <v>216</v>
      </c>
      <c r="F130" s="1669">
        <f t="shared" si="0"/>
        <v>6965</v>
      </c>
      <c r="G130" s="1669">
        <v>0</v>
      </c>
      <c r="H130" s="1669">
        <f t="shared" si="1"/>
        <v>6965</v>
      </c>
      <c r="I130" s="1670">
        <v>40000</v>
      </c>
      <c r="Q130" s="66"/>
    </row>
    <row r="131" spans="1:17" s="67" customFormat="1" x14ac:dyDescent="0.25">
      <c r="A131" s="66"/>
      <c r="B131" s="65"/>
      <c r="C131" s="1666">
        <v>12</v>
      </c>
      <c r="D131" s="1672"/>
      <c r="E131" s="1673">
        <v>439</v>
      </c>
      <c r="F131" s="1669">
        <f t="shared" si="0"/>
        <v>14156</v>
      </c>
      <c r="G131" s="1669">
        <v>0</v>
      </c>
      <c r="H131" s="1669">
        <f t="shared" si="1"/>
        <v>14156</v>
      </c>
      <c r="I131" s="1670">
        <v>40000</v>
      </c>
      <c r="Q131" s="66"/>
    </row>
    <row r="132" spans="1:17" s="67" customFormat="1" x14ac:dyDescent="0.25">
      <c r="A132" s="66"/>
      <c r="B132" s="65"/>
      <c r="C132" s="1666">
        <v>13</v>
      </c>
      <c r="D132" s="1667"/>
      <c r="E132" s="1668">
        <v>1590</v>
      </c>
      <c r="F132" s="1669">
        <f t="shared" si="0"/>
        <v>51271</v>
      </c>
      <c r="G132" s="1669">
        <v>0</v>
      </c>
      <c r="H132" s="1669">
        <f t="shared" si="1"/>
        <v>51271</v>
      </c>
      <c r="I132" s="1670">
        <v>40000</v>
      </c>
      <c r="Q132" s="66"/>
    </row>
    <row r="133" spans="1:17" s="67" customFormat="1" x14ac:dyDescent="0.25">
      <c r="A133" s="66"/>
      <c r="B133" s="65"/>
      <c r="C133" s="1666">
        <v>14</v>
      </c>
      <c r="D133" s="1667"/>
      <c r="E133" s="1668">
        <v>1010</v>
      </c>
      <c r="F133" s="1669">
        <f t="shared" si="0"/>
        <v>32568</v>
      </c>
      <c r="G133" s="1669">
        <v>0</v>
      </c>
      <c r="H133" s="1669">
        <f t="shared" si="1"/>
        <v>32568</v>
      </c>
      <c r="I133" s="1670">
        <v>40000</v>
      </c>
      <c r="Q133" s="66"/>
    </row>
    <row r="134" spans="1:17" s="67" customFormat="1" x14ac:dyDescent="0.25">
      <c r="A134" s="66"/>
      <c r="B134" s="65"/>
      <c r="C134" s="1666">
        <v>15</v>
      </c>
      <c r="D134" s="1667"/>
      <c r="E134" s="1668">
        <v>3456</v>
      </c>
      <c r="F134" s="1669">
        <f t="shared" si="0"/>
        <v>111442</v>
      </c>
      <c r="G134" s="1669">
        <v>0</v>
      </c>
      <c r="H134" s="1669">
        <f t="shared" si="1"/>
        <v>111442</v>
      </c>
      <c r="I134" s="1670">
        <v>40000</v>
      </c>
      <c r="Q134" s="66"/>
    </row>
    <row r="135" spans="1:17" s="67" customFormat="1" x14ac:dyDescent="0.25">
      <c r="A135" s="66"/>
      <c r="B135" s="65"/>
      <c r="C135" s="1666">
        <v>16</v>
      </c>
      <c r="D135" s="1667"/>
      <c r="E135" s="1668">
        <v>2234</v>
      </c>
      <c r="F135" s="1669">
        <f t="shared" si="0"/>
        <v>72037</v>
      </c>
      <c r="G135" s="1669">
        <v>0</v>
      </c>
      <c r="H135" s="1669">
        <f t="shared" si="1"/>
        <v>72037</v>
      </c>
      <c r="I135" s="1670">
        <v>40000</v>
      </c>
      <c r="Q135" s="66"/>
    </row>
    <row r="136" spans="1:17" s="67" customFormat="1" x14ac:dyDescent="0.25">
      <c r="A136" s="66"/>
      <c r="B136" s="65"/>
      <c r="C136" s="1666">
        <v>17</v>
      </c>
      <c r="D136" s="1667"/>
      <c r="E136" s="1668">
        <v>2695</v>
      </c>
      <c r="F136" s="1669">
        <f t="shared" si="0"/>
        <v>86903</v>
      </c>
      <c r="G136" s="1669">
        <v>0</v>
      </c>
      <c r="H136" s="1669">
        <f t="shared" si="1"/>
        <v>86903</v>
      </c>
      <c r="I136" s="1670">
        <v>40000</v>
      </c>
      <c r="Q136" s="66"/>
    </row>
    <row r="137" spans="1:17" s="67" customFormat="1" x14ac:dyDescent="0.25">
      <c r="A137" s="66"/>
      <c r="B137" s="65"/>
      <c r="C137" s="1666">
        <v>18</v>
      </c>
      <c r="D137" s="1672"/>
      <c r="E137" s="1673">
        <v>742</v>
      </c>
      <c r="F137" s="1669">
        <f t="shared" si="0"/>
        <v>23926</v>
      </c>
      <c r="G137" s="1669">
        <v>0</v>
      </c>
      <c r="H137" s="1669">
        <f t="shared" si="1"/>
        <v>23926</v>
      </c>
      <c r="I137" s="1670">
        <v>40000</v>
      </c>
      <c r="Q137" s="66"/>
    </row>
    <row r="138" spans="1:17" s="67" customFormat="1" x14ac:dyDescent="0.25">
      <c r="A138" s="66"/>
      <c r="B138" s="65"/>
      <c r="C138" s="1666">
        <v>19</v>
      </c>
      <c r="D138" s="1672"/>
      <c r="E138" s="1674">
        <v>1322</v>
      </c>
      <c r="F138" s="1669">
        <f t="shared" si="0"/>
        <v>42629</v>
      </c>
      <c r="G138" s="1669">
        <v>0</v>
      </c>
      <c r="H138" s="1669">
        <f t="shared" si="1"/>
        <v>42629</v>
      </c>
      <c r="I138" s="1670">
        <v>40000</v>
      </c>
      <c r="Q138" s="66"/>
    </row>
    <row r="139" spans="1:17" s="67" customFormat="1" x14ac:dyDescent="0.25">
      <c r="A139" s="66"/>
      <c r="B139" s="65"/>
      <c r="C139" s="1666">
        <v>20</v>
      </c>
      <c r="D139" s="1672"/>
      <c r="E139" s="1674">
        <v>1366</v>
      </c>
      <c r="F139" s="1669">
        <f t="shared" si="0"/>
        <v>44048</v>
      </c>
      <c r="G139" s="1669">
        <v>0</v>
      </c>
      <c r="H139" s="1669">
        <f t="shared" si="1"/>
        <v>44048</v>
      </c>
      <c r="I139" s="1670">
        <v>40000</v>
      </c>
      <c r="Q139" s="66"/>
    </row>
    <row r="140" spans="1:17" s="67" customFormat="1" x14ac:dyDescent="0.25">
      <c r="A140" s="66"/>
      <c r="B140" s="65"/>
      <c r="C140" s="1666">
        <v>21</v>
      </c>
      <c r="D140" s="1675"/>
      <c r="E140" s="1674">
        <v>800</v>
      </c>
      <c r="F140" s="1669">
        <f t="shared" si="0"/>
        <v>25797</v>
      </c>
      <c r="G140" s="1669">
        <v>0</v>
      </c>
      <c r="H140" s="1669">
        <f t="shared" si="1"/>
        <v>25797</v>
      </c>
      <c r="I140" s="1670">
        <v>40000</v>
      </c>
      <c r="Q140" s="66"/>
    </row>
    <row r="141" spans="1:17" s="67" customFormat="1" x14ac:dyDescent="0.25">
      <c r="A141" s="66"/>
      <c r="B141" s="65"/>
      <c r="C141" s="1666">
        <v>22</v>
      </c>
      <c r="D141" s="1675"/>
      <c r="E141" s="1674">
        <v>1200</v>
      </c>
      <c r="F141" s="1669">
        <f t="shared" si="0"/>
        <v>38695</v>
      </c>
      <c r="G141" s="1669">
        <v>0</v>
      </c>
      <c r="H141" s="1669">
        <f t="shared" si="1"/>
        <v>38695</v>
      </c>
      <c r="I141" s="1670">
        <v>40000</v>
      </c>
      <c r="Q141" s="66"/>
    </row>
    <row r="142" spans="1:17" x14ac:dyDescent="0.25">
      <c r="C142" s="69"/>
      <c r="D142" s="69"/>
      <c r="E142" s="70"/>
      <c r="F142" s="69"/>
      <c r="G142" s="69"/>
      <c r="H142" s="69"/>
      <c r="I142" s="69"/>
      <c r="Q142" s="1"/>
    </row>
    <row r="143" spans="1:17" hidden="1" x14ac:dyDescent="0.25">
      <c r="A143" s="1">
        <v>13</v>
      </c>
      <c r="C143" s="11" t="s">
        <v>89</v>
      </c>
    </row>
    <row r="144" spans="1:17" hidden="1" x14ac:dyDescent="0.25">
      <c r="B144" s="1"/>
      <c r="M144" s="71" t="s">
        <v>90</v>
      </c>
      <c r="N144" s="72"/>
    </row>
    <row r="145" spans="2:14" hidden="1" x14ac:dyDescent="0.25">
      <c r="B145" s="1" t="s">
        <v>91</v>
      </c>
      <c r="C145" s="51" t="s">
        <v>92</v>
      </c>
      <c r="F145" s="2" t="s">
        <v>33</v>
      </c>
      <c r="G145" s="34">
        <f>H45</f>
        <v>3231.8674500000002</v>
      </c>
      <c r="M145" s="71" t="s">
        <v>93</v>
      </c>
      <c r="N145" s="73">
        <v>0.6</v>
      </c>
    </row>
    <row r="146" spans="2:14" hidden="1" x14ac:dyDescent="0.25">
      <c r="B146" s="1"/>
      <c r="F146" s="2" t="s">
        <v>94</v>
      </c>
      <c r="G146" s="2">
        <v>14</v>
      </c>
      <c r="M146" s="71" t="s">
        <v>95</v>
      </c>
      <c r="N146" s="73">
        <v>0.5</v>
      </c>
    </row>
    <row r="147" spans="2:14" hidden="1" x14ac:dyDescent="0.25">
      <c r="B147" s="1"/>
      <c r="D147" s="2" t="s">
        <v>96</v>
      </c>
      <c r="F147" s="2">
        <f>+G145</f>
        <v>3231.8674500000002</v>
      </c>
      <c r="G147" s="2">
        <f>+G146</f>
        <v>14</v>
      </c>
      <c r="H147" s="28" t="s">
        <v>97</v>
      </c>
      <c r="I147" s="74">
        <f>+G145*G146/(4500*0.5)</f>
        <v>20.109397466666667</v>
      </c>
    </row>
    <row r="148" spans="2:14" hidden="1" x14ac:dyDescent="0.25">
      <c r="B148" s="1"/>
      <c r="M148" s="1933" t="s">
        <v>2096</v>
      </c>
      <c r="N148" s="1933"/>
    </row>
    <row r="149" spans="2:14" hidden="1" x14ac:dyDescent="0.25">
      <c r="B149" s="1"/>
      <c r="D149" s="2" t="s">
        <v>66</v>
      </c>
      <c r="E149" s="22" t="s">
        <v>98</v>
      </c>
      <c r="F149" s="22" t="s">
        <v>99</v>
      </c>
      <c r="H149" s="75" t="s">
        <v>100</v>
      </c>
    </row>
    <row r="150" spans="2:14" hidden="1" x14ac:dyDescent="0.25">
      <c r="B150" s="1"/>
    </row>
    <row r="151" spans="2:14" hidden="1" x14ac:dyDescent="0.25">
      <c r="B151" s="1" t="s">
        <v>101</v>
      </c>
      <c r="C151" s="51" t="s">
        <v>102</v>
      </c>
      <c r="F151" s="2" t="s">
        <v>33</v>
      </c>
      <c r="G151" s="34">
        <f>F25</f>
        <v>1918</v>
      </c>
    </row>
    <row r="152" spans="2:14" hidden="1" x14ac:dyDescent="0.25">
      <c r="B152" s="1"/>
      <c r="F152" s="2" t="s">
        <v>94</v>
      </c>
      <c r="G152" s="2">
        <v>8</v>
      </c>
    </row>
    <row r="153" spans="2:14" hidden="1" x14ac:dyDescent="0.25">
      <c r="B153" s="1"/>
      <c r="D153" s="2" t="s">
        <v>96</v>
      </c>
      <c r="F153" s="48">
        <f>G151</f>
        <v>1918</v>
      </c>
      <c r="G153" s="2">
        <f>+G152</f>
        <v>8</v>
      </c>
      <c r="H153" s="28" t="s">
        <v>97</v>
      </c>
      <c r="I153" s="74">
        <f>+G151*G152/(4500*0.5)</f>
        <v>6.8195555555555556</v>
      </c>
    </row>
    <row r="154" spans="2:14" hidden="1" x14ac:dyDescent="0.25">
      <c r="B154" s="1"/>
    </row>
    <row r="155" spans="2:14" hidden="1" x14ac:dyDescent="0.25">
      <c r="B155" s="1"/>
      <c r="D155" s="2" t="s">
        <v>66</v>
      </c>
      <c r="E155" s="22" t="s">
        <v>103</v>
      </c>
      <c r="F155" s="28" t="s">
        <v>99</v>
      </c>
      <c r="H155" s="76" t="s">
        <v>100</v>
      </c>
    </row>
    <row r="156" spans="2:14" hidden="1" x14ac:dyDescent="0.25">
      <c r="B156" s="1"/>
      <c r="E156" s="28"/>
      <c r="F156" s="28"/>
      <c r="H156" s="76"/>
    </row>
    <row r="157" spans="2:14" hidden="1" x14ac:dyDescent="0.25">
      <c r="B157" s="21" t="s">
        <v>104</v>
      </c>
      <c r="C157" s="77" t="s">
        <v>105</v>
      </c>
      <c r="F157" s="2" t="s">
        <v>33</v>
      </c>
      <c r="G157" s="34">
        <f>G25*55/70</f>
        <v>1318.4285714285713</v>
      </c>
    </row>
    <row r="158" spans="2:14" hidden="1" x14ac:dyDescent="0.25">
      <c r="B158" s="1"/>
      <c r="F158" s="2" t="s">
        <v>94</v>
      </c>
      <c r="G158" s="2">
        <v>55</v>
      </c>
    </row>
    <row r="159" spans="2:14" hidden="1" x14ac:dyDescent="0.25">
      <c r="B159" s="1"/>
      <c r="D159" s="2" t="s">
        <v>96</v>
      </c>
      <c r="F159" s="34">
        <f>G157</f>
        <v>1318.4285714285713</v>
      </c>
      <c r="G159" s="2">
        <f>+G158</f>
        <v>55</v>
      </c>
      <c r="H159" s="28" t="s">
        <v>97</v>
      </c>
      <c r="I159" s="74">
        <f>+G157*G158/(4500*0.5)</f>
        <v>32.228253968253966</v>
      </c>
    </row>
    <row r="160" spans="2:14" hidden="1" x14ac:dyDescent="0.25">
      <c r="B160" s="1"/>
    </row>
    <row r="161" spans="2:12" hidden="1" x14ac:dyDescent="0.25">
      <c r="B161" s="1"/>
      <c r="D161" s="2" t="s">
        <v>66</v>
      </c>
      <c r="E161" s="22" t="s">
        <v>106</v>
      </c>
      <c r="F161" s="28" t="s">
        <v>107</v>
      </c>
      <c r="H161" s="76" t="s">
        <v>108</v>
      </c>
    </row>
    <row r="162" spans="2:12" hidden="1" x14ac:dyDescent="0.25">
      <c r="B162" s="1"/>
    </row>
    <row r="163" spans="2:12" hidden="1" x14ac:dyDescent="0.25">
      <c r="B163" s="21" t="s">
        <v>109</v>
      </c>
      <c r="C163" s="22" t="s">
        <v>110</v>
      </c>
    </row>
    <row r="164" spans="2:12" hidden="1" x14ac:dyDescent="0.25">
      <c r="B164" s="1"/>
      <c r="F164" s="2" t="s">
        <v>33</v>
      </c>
      <c r="G164" s="34">
        <f>G25</f>
        <v>1678</v>
      </c>
    </row>
    <row r="165" spans="2:12" hidden="1" x14ac:dyDescent="0.25">
      <c r="B165" s="1"/>
      <c r="F165" s="2" t="s">
        <v>94</v>
      </c>
      <c r="G165" s="2">
        <v>33</v>
      </c>
      <c r="H165" s="2" t="s">
        <v>39</v>
      </c>
    </row>
    <row r="166" spans="2:12" hidden="1" x14ac:dyDescent="0.25">
      <c r="B166" s="1"/>
      <c r="D166" s="2" t="s">
        <v>96</v>
      </c>
      <c r="F166" s="2">
        <f>+G164</f>
        <v>1678</v>
      </c>
      <c r="G166" s="2">
        <f>+G165</f>
        <v>33</v>
      </c>
      <c r="H166" s="78" t="s">
        <v>97</v>
      </c>
      <c r="I166" s="24">
        <f>+G164*G165/(4500*0.5)</f>
        <v>24.610666666666667</v>
      </c>
    </row>
    <row r="167" spans="2:12" hidden="1" x14ac:dyDescent="0.25">
      <c r="B167" s="1"/>
    </row>
    <row r="168" spans="2:12" hidden="1" x14ac:dyDescent="0.25">
      <c r="B168" s="1"/>
      <c r="D168" s="2" t="s">
        <v>66</v>
      </c>
      <c r="E168" s="28" t="s">
        <v>111</v>
      </c>
      <c r="F168" s="28" t="s">
        <v>112</v>
      </c>
      <c r="H168" s="76" t="s">
        <v>100</v>
      </c>
    </row>
    <row r="169" spans="2:12" hidden="1" x14ac:dyDescent="0.25">
      <c r="L169" s="2" t="s">
        <v>68</v>
      </c>
    </row>
  </sheetData>
  <mergeCells count="3">
    <mergeCell ref="B1:I1"/>
    <mergeCell ref="L2:L3"/>
    <mergeCell ref="C62:G63"/>
  </mergeCells>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1"/>
  <sheetViews>
    <sheetView topLeftCell="A55" workbookViewId="0">
      <selection activeCell="B8" sqref="B8"/>
    </sheetView>
  </sheetViews>
  <sheetFormatPr defaultRowHeight="15" x14ac:dyDescent="0.25"/>
  <cols>
    <col min="9" max="9" width="15.140625" customWidth="1"/>
  </cols>
  <sheetData>
    <row r="1" spans="1:26" x14ac:dyDescent="0.25">
      <c r="G1" s="79"/>
      <c r="H1" s="80" t="s">
        <v>113</v>
      </c>
      <c r="I1" s="81"/>
    </row>
    <row r="2" spans="1:26" x14ac:dyDescent="0.25">
      <c r="A2" s="1890"/>
      <c r="B2" s="1890" t="s">
        <v>2074</v>
      </c>
      <c r="C2" s="1890"/>
      <c r="G2" s="82" t="s">
        <v>114</v>
      </c>
      <c r="H2" s="83"/>
      <c r="I2" s="84">
        <v>1.3</v>
      </c>
    </row>
    <row r="3" spans="1:26" x14ac:dyDescent="0.25">
      <c r="G3" s="85" t="s">
        <v>115</v>
      </c>
      <c r="H3" s="86"/>
      <c r="I3" s="87">
        <v>0.9</v>
      </c>
    </row>
    <row r="5" spans="1:26" x14ac:dyDescent="0.25">
      <c r="C5" s="88" t="s">
        <v>116</v>
      </c>
      <c r="D5" s="88"/>
      <c r="E5" s="89">
        <v>0.5</v>
      </c>
      <c r="F5" s="90"/>
      <c r="G5" s="90"/>
      <c r="I5" s="91" t="s">
        <v>117</v>
      </c>
      <c r="J5" s="92">
        <f>$I$67</f>
        <v>20196</v>
      </c>
    </row>
    <row r="6" spans="1:26" x14ac:dyDescent="0.25">
      <c r="B6" s="93"/>
      <c r="D6" s="94"/>
      <c r="F6" s="95"/>
      <c r="G6" s="95"/>
      <c r="H6" s="95"/>
      <c r="I6" s="96" t="s">
        <v>118</v>
      </c>
      <c r="J6" s="92">
        <f>$I$121</f>
        <v>23402</v>
      </c>
    </row>
    <row r="7" spans="1:26" x14ac:dyDescent="0.25">
      <c r="B7" s="97"/>
      <c r="C7" s="97"/>
      <c r="D7" s="97"/>
      <c r="G7" s="90"/>
      <c r="H7" s="90"/>
      <c r="I7" s="91" t="s">
        <v>119</v>
      </c>
      <c r="J7" s="92">
        <f>$I$180</f>
        <v>26994</v>
      </c>
    </row>
    <row r="8" spans="1:26" x14ac:dyDescent="0.25">
      <c r="I8" s="98" t="s">
        <v>120</v>
      </c>
      <c r="J8" s="92">
        <f>$I$234</f>
        <v>34550</v>
      </c>
    </row>
    <row r="10" spans="1:26" x14ac:dyDescent="0.25">
      <c r="A10" s="2097" t="str">
        <f>Design!B1</f>
        <v>CPWS SCHEME TO                                                                                                       DISTRICT</v>
      </c>
      <c r="B10" s="2097"/>
      <c r="C10" s="2097"/>
      <c r="D10" s="2097"/>
      <c r="E10" s="2097"/>
      <c r="F10" s="2097"/>
      <c r="G10" s="2097"/>
      <c r="H10" s="2097"/>
      <c r="I10" s="2097"/>
    </row>
    <row r="11" spans="1:26" hidden="1" x14ac:dyDescent="0.25">
      <c r="C11" s="97"/>
      <c r="D11" s="97"/>
      <c r="E11" s="97"/>
      <c r="F11" s="97"/>
      <c r="G11" s="99"/>
      <c r="H11" s="100"/>
      <c r="I11" s="101"/>
    </row>
    <row r="12" spans="1:26" hidden="1" x14ac:dyDescent="0.25">
      <c r="U12" s="102"/>
      <c r="V12" s="103"/>
      <c r="W12" s="103"/>
      <c r="X12" s="97"/>
      <c r="Y12" s="97"/>
      <c r="Z12" s="97"/>
    </row>
    <row r="13" spans="1:26" hidden="1" x14ac:dyDescent="0.25">
      <c r="D13" s="104"/>
      <c r="K13" s="105"/>
      <c r="L13" s="105"/>
      <c r="U13" s="97"/>
      <c r="V13" s="103"/>
      <c r="W13" s="103"/>
      <c r="X13" s="97"/>
      <c r="Y13" s="97"/>
      <c r="Z13" s="97"/>
    </row>
    <row r="14" spans="1:26" hidden="1" x14ac:dyDescent="0.25">
      <c r="K14" s="105"/>
      <c r="L14" s="105"/>
      <c r="U14" s="97"/>
      <c r="V14" s="103"/>
      <c r="W14" s="103"/>
      <c r="X14" s="97"/>
      <c r="Y14" s="97"/>
      <c r="Z14" s="97"/>
    </row>
    <row r="15" spans="1:26" hidden="1" x14ac:dyDescent="0.25">
      <c r="E15" s="106">
        <f>+E23+C23*2+0.075*2</f>
        <v>1.25</v>
      </c>
      <c r="S15" s="107"/>
      <c r="U15" s="102"/>
      <c r="V15" s="103"/>
      <c r="W15" s="103"/>
      <c r="X15" s="97"/>
      <c r="Y15" s="97"/>
      <c r="Z15" s="97"/>
    </row>
    <row r="16" spans="1:26" hidden="1" x14ac:dyDescent="0.25">
      <c r="A16" t="s">
        <v>121</v>
      </c>
      <c r="C16" s="108">
        <f>((INT(((SQRT(((J15*25+2.5)*(((E23+2*C23+0.3)*0.5)^2)*0.1875)*865.05))*0.001)*20))*0.05)+0.1</f>
        <v>0.1</v>
      </c>
      <c r="U16" s="109"/>
      <c r="V16" s="103"/>
      <c r="W16" s="103"/>
      <c r="X16" s="97"/>
      <c r="Y16" s="97"/>
      <c r="Z16" s="110" t="s">
        <v>122</v>
      </c>
    </row>
    <row r="17" spans="1:17" hidden="1" x14ac:dyDescent="0.25">
      <c r="C17" s="97"/>
      <c r="D17" s="111"/>
      <c r="E17" s="112">
        <v>0.23</v>
      </c>
      <c r="F17" s="97"/>
      <c r="G17" s="97"/>
      <c r="H17" s="97"/>
    </row>
    <row r="18" spans="1:17" hidden="1" x14ac:dyDescent="0.25">
      <c r="A18" s="107"/>
      <c r="B18" s="113"/>
      <c r="C18" s="102"/>
      <c r="D18" s="97"/>
      <c r="E18" s="97"/>
      <c r="F18" s="97"/>
      <c r="G18" s="114"/>
      <c r="H18" s="97"/>
    </row>
    <row r="19" spans="1:17" hidden="1" x14ac:dyDescent="0.25">
      <c r="D19" s="97"/>
      <c r="G19" s="97"/>
      <c r="H19" s="97"/>
      <c r="L19" s="115"/>
      <c r="O19" s="107"/>
      <c r="P19" s="116"/>
      <c r="Q19" s="117"/>
    </row>
    <row r="20" spans="1:17" hidden="1" x14ac:dyDescent="0.25">
      <c r="D20" s="97"/>
      <c r="E20" s="97"/>
      <c r="F20" s="97"/>
      <c r="G20" s="97"/>
      <c r="H20" s="97"/>
      <c r="M20" s="118"/>
      <c r="P20" s="97"/>
    </row>
    <row r="21" spans="1:17" hidden="1" x14ac:dyDescent="0.25">
      <c r="A21" s="107" t="s">
        <v>114</v>
      </c>
      <c r="C21" s="102">
        <f>+I2</f>
        <v>1.3</v>
      </c>
      <c r="D21" s="97"/>
      <c r="E21" s="97"/>
      <c r="F21" s="97"/>
      <c r="G21" s="97"/>
      <c r="H21" s="97"/>
    </row>
    <row r="22" spans="1:17" hidden="1" x14ac:dyDescent="0.25">
      <c r="C22" s="119"/>
      <c r="D22" s="97"/>
      <c r="E22" s="97"/>
      <c r="F22" s="97"/>
      <c r="G22" s="97"/>
      <c r="H22" s="97"/>
      <c r="K22" s="113"/>
      <c r="L22" s="120"/>
    </row>
    <row r="23" spans="1:17" hidden="1" x14ac:dyDescent="0.25">
      <c r="A23" s="113" t="s">
        <v>123</v>
      </c>
      <c r="B23" s="113"/>
      <c r="C23" s="102">
        <v>0.1</v>
      </c>
      <c r="D23" s="97"/>
      <c r="E23" s="121">
        <f>+I3</f>
        <v>0.9</v>
      </c>
      <c r="F23" s="97"/>
      <c r="G23" s="97"/>
      <c r="H23" s="97"/>
      <c r="K23" s="107"/>
      <c r="L23" s="122"/>
    </row>
    <row r="24" spans="1:17" hidden="1" x14ac:dyDescent="0.25">
      <c r="A24" s="113"/>
      <c r="B24" s="113"/>
      <c r="C24" s="119"/>
      <c r="D24" s="97"/>
      <c r="E24" s="97"/>
      <c r="F24" s="97"/>
      <c r="G24" s="97"/>
      <c r="H24" s="97"/>
      <c r="K24" s="107"/>
      <c r="L24" s="122"/>
      <c r="M24" s="113"/>
    </row>
    <row r="25" spans="1:17" hidden="1" x14ac:dyDescent="0.25">
      <c r="A25" s="113"/>
      <c r="B25" s="113"/>
      <c r="C25" s="123"/>
      <c r="D25" s="97"/>
      <c r="E25" s="97"/>
      <c r="F25" s="97"/>
      <c r="G25" s="124"/>
      <c r="H25" s="97"/>
      <c r="K25" s="107"/>
      <c r="L25" s="122"/>
    </row>
    <row r="26" spans="1:17" hidden="1" x14ac:dyDescent="0.25">
      <c r="A26" s="113"/>
      <c r="B26" s="113"/>
      <c r="C26" s="113"/>
      <c r="D26" s="97"/>
      <c r="E26" s="97"/>
      <c r="F26" s="97"/>
      <c r="G26" s="97"/>
      <c r="H26" s="97"/>
      <c r="J26" s="125"/>
      <c r="K26" s="107"/>
      <c r="L26" s="122"/>
    </row>
    <row r="27" spans="1:17" hidden="1" x14ac:dyDescent="0.25">
      <c r="A27" s="107"/>
      <c r="B27" s="113"/>
      <c r="C27" s="109"/>
      <c r="D27" s="97"/>
      <c r="E27" s="97"/>
      <c r="F27" s="97"/>
      <c r="G27" s="97"/>
      <c r="H27" s="97"/>
    </row>
    <row r="28" spans="1:17" hidden="1" x14ac:dyDescent="0.25">
      <c r="C28" s="119"/>
      <c r="D28" s="97"/>
      <c r="E28" s="97"/>
      <c r="F28" s="97"/>
      <c r="G28" s="97"/>
      <c r="H28" s="113" t="s">
        <v>124</v>
      </c>
      <c r="I28" s="126">
        <v>0.15</v>
      </c>
    </row>
    <row r="29" spans="1:17" hidden="1" x14ac:dyDescent="0.25">
      <c r="C29" s="97"/>
      <c r="D29" s="97"/>
      <c r="E29" s="119">
        <f>+E23+C23*2+2*0.075</f>
        <v>1.25</v>
      </c>
      <c r="F29" s="97"/>
      <c r="G29" s="97"/>
      <c r="H29" s="113" t="s">
        <v>125</v>
      </c>
      <c r="I29" s="126">
        <v>0.1</v>
      </c>
    </row>
    <row r="30" spans="1:17" hidden="1" x14ac:dyDescent="0.25"/>
    <row r="31" spans="1:17" hidden="1" x14ac:dyDescent="0.25">
      <c r="D31" s="127" t="s">
        <v>126</v>
      </c>
      <c r="F31" s="128"/>
      <c r="G31" s="100" t="str">
        <f>+I42</f>
        <v>&lt;150 mm</v>
      </c>
    </row>
    <row r="32" spans="1:17" hidden="1" x14ac:dyDescent="0.25"/>
    <row r="33" spans="1:13" hidden="1" x14ac:dyDescent="0.25">
      <c r="A33" s="129" t="s">
        <v>127</v>
      </c>
      <c r="B33" s="129"/>
      <c r="C33" s="129"/>
      <c r="D33" s="130" t="s">
        <v>128</v>
      </c>
      <c r="E33" s="129"/>
      <c r="F33" s="129"/>
      <c r="G33" s="129"/>
    </row>
    <row r="34" spans="1:13" hidden="1" x14ac:dyDescent="0.25">
      <c r="A34" s="129" t="s">
        <v>129</v>
      </c>
      <c r="B34" s="129"/>
      <c r="C34" s="129"/>
      <c r="D34" s="129" t="s">
        <v>130</v>
      </c>
      <c r="E34" s="129"/>
      <c r="F34" s="129"/>
      <c r="G34" s="129"/>
    </row>
    <row r="35" spans="1:13" hidden="1" x14ac:dyDescent="0.25">
      <c r="A35" s="130" t="s">
        <v>131</v>
      </c>
      <c r="B35" s="129"/>
      <c r="C35" s="129"/>
      <c r="D35" s="129"/>
      <c r="E35" s="129"/>
      <c r="F35" s="129"/>
      <c r="G35" s="129"/>
      <c r="J35" s="120"/>
    </row>
    <row r="36" spans="1:13" hidden="1" x14ac:dyDescent="0.25">
      <c r="A36" s="130" t="s">
        <v>132</v>
      </c>
      <c r="B36" s="129"/>
      <c r="C36" s="129"/>
      <c r="D36" s="129"/>
      <c r="E36" s="129"/>
      <c r="F36" s="129"/>
      <c r="G36" s="129"/>
      <c r="J36" s="120"/>
    </row>
    <row r="37" spans="1:13" hidden="1" x14ac:dyDescent="0.25"/>
    <row r="38" spans="1:13" hidden="1" x14ac:dyDescent="0.25"/>
    <row r="39" spans="1:13" hidden="1" x14ac:dyDescent="0.25"/>
    <row r="40" spans="1:13" x14ac:dyDescent="0.25">
      <c r="A40" s="131" t="s">
        <v>133</v>
      </c>
      <c r="B40" s="132"/>
      <c r="C40" s="132"/>
      <c r="D40" s="132"/>
      <c r="E40" s="132"/>
      <c r="F40" s="132"/>
      <c r="G40" s="132"/>
      <c r="H40" s="132"/>
      <c r="I40" s="132"/>
    </row>
    <row r="41" spans="1:13" x14ac:dyDescent="0.25">
      <c r="A41" s="131"/>
      <c r="B41" s="132"/>
      <c r="C41" s="133"/>
      <c r="D41" s="134"/>
      <c r="E41" s="133"/>
      <c r="F41" s="134"/>
      <c r="G41" s="135"/>
      <c r="H41" s="135"/>
      <c r="I41" s="132"/>
      <c r="M41" s="97"/>
    </row>
    <row r="42" spans="1:13" x14ac:dyDescent="0.25">
      <c r="A42" s="136" t="s">
        <v>134</v>
      </c>
      <c r="F42" s="137"/>
      <c r="G42" s="138">
        <f>+E23</f>
        <v>0.9</v>
      </c>
      <c r="H42" s="139" t="s">
        <v>135</v>
      </c>
      <c r="I42" s="140" t="str">
        <f>+LOOKUP(G42,RAM!$G$124:$G$127,RAM!$H$124:$H$127)</f>
        <v>&lt;150 mm</v>
      </c>
    </row>
    <row r="43" spans="1:13" x14ac:dyDescent="0.25">
      <c r="A43" s="110"/>
      <c r="F43" s="137"/>
      <c r="G43" s="110"/>
      <c r="H43" s="97"/>
    </row>
    <row r="44" spans="1:13" x14ac:dyDescent="0.25">
      <c r="A44" s="141"/>
      <c r="B44" s="141"/>
      <c r="C44" s="141"/>
      <c r="D44" s="141"/>
      <c r="E44" s="141"/>
      <c r="F44" s="141"/>
      <c r="G44" s="141"/>
      <c r="H44" s="142" t="s">
        <v>136</v>
      </c>
      <c r="I44" s="143">
        <f>+I67</f>
        <v>20196</v>
      </c>
    </row>
    <row r="45" spans="1:13" x14ac:dyDescent="0.25">
      <c r="A45" s="144" t="s">
        <v>137</v>
      </c>
      <c r="B45" s="2096" t="s">
        <v>138</v>
      </c>
      <c r="C45" s="2096"/>
      <c r="D45" s="2096"/>
      <c r="E45" s="2096"/>
      <c r="F45" s="2095" t="s">
        <v>139</v>
      </c>
      <c r="G45" s="2095"/>
      <c r="H45" s="145" t="s">
        <v>140</v>
      </c>
      <c r="I45" s="145" t="s">
        <v>141</v>
      </c>
    </row>
    <row r="46" spans="1:13" ht="36" customHeight="1" x14ac:dyDescent="0.25">
      <c r="A46" s="146">
        <v>1</v>
      </c>
      <c r="B46" s="2094" t="s">
        <v>142</v>
      </c>
      <c r="C46" s="2093"/>
      <c r="D46" s="2093"/>
      <c r="E46" s="2093"/>
      <c r="F46" s="90"/>
      <c r="G46" s="90"/>
      <c r="H46" s="90"/>
      <c r="I46" s="90"/>
    </row>
    <row r="47" spans="1:13" x14ac:dyDescent="0.25">
      <c r="A47" s="90"/>
      <c r="B47" s="147"/>
      <c r="C47" s="148" t="s">
        <v>143</v>
      </c>
      <c r="D47">
        <v>1.25</v>
      </c>
      <c r="E47" s="149">
        <f>+E29</f>
        <v>1.25</v>
      </c>
      <c r="F47" s="149">
        <v>1.55</v>
      </c>
      <c r="G47" s="149">
        <f>+ROUND((22/28)*F47*E47*D47,2)</f>
        <v>1.9</v>
      </c>
      <c r="H47" s="150">
        <f>Data!$I$12</f>
        <v>158.80000000000001</v>
      </c>
      <c r="I47" s="151">
        <f>+ROUND((H47*G47),0)</f>
        <v>302</v>
      </c>
    </row>
    <row r="48" spans="1:13" ht="48" customHeight="1" x14ac:dyDescent="0.25">
      <c r="A48" s="146">
        <v>2</v>
      </c>
      <c r="B48" s="2094" t="s">
        <v>144</v>
      </c>
      <c r="C48" s="2093"/>
      <c r="D48" s="2093"/>
      <c r="E48" s="2093"/>
      <c r="F48" s="90"/>
      <c r="G48" s="90"/>
      <c r="H48" s="90"/>
      <c r="I48" s="90"/>
    </row>
    <row r="49" spans="1:9" x14ac:dyDescent="0.25">
      <c r="A49" s="90"/>
      <c r="B49" s="90"/>
      <c r="C49" s="148" t="s">
        <v>143</v>
      </c>
      <c r="D49">
        <v>1.25</v>
      </c>
      <c r="E49" s="149">
        <f>+E29</f>
        <v>1.25</v>
      </c>
      <c r="F49" s="149">
        <f>I28</f>
        <v>0.15</v>
      </c>
      <c r="G49" s="149">
        <f>+ROUND((22/28)*E49*E49*F49,2)</f>
        <v>0.18</v>
      </c>
      <c r="H49" s="150">
        <f>Data!$I$690</f>
        <v>4503.5</v>
      </c>
      <c r="I49" s="151">
        <f>+ROUND((H49*G49),0)</f>
        <v>811</v>
      </c>
    </row>
    <row r="50" spans="1:9" ht="42.75" customHeight="1" x14ac:dyDescent="0.25">
      <c r="A50" s="146">
        <v>3</v>
      </c>
      <c r="B50" s="2094" t="s">
        <v>145</v>
      </c>
      <c r="C50" s="2093"/>
      <c r="D50" s="2093"/>
      <c r="E50" s="2093"/>
      <c r="F50" s="90"/>
      <c r="G50" s="90"/>
      <c r="H50" s="90"/>
      <c r="I50" s="152"/>
    </row>
    <row r="51" spans="1:9" x14ac:dyDescent="0.25">
      <c r="A51" s="90"/>
      <c r="B51" s="147"/>
      <c r="C51" s="90"/>
      <c r="D51" s="148" t="s">
        <v>143</v>
      </c>
      <c r="E51" s="149">
        <f>+E29</f>
        <v>1.25</v>
      </c>
      <c r="F51" s="149">
        <f>I29</f>
        <v>0.1</v>
      </c>
      <c r="G51" s="149">
        <f>+ROUND((22/28)*E51*E51*F51,2)</f>
        <v>0.12</v>
      </c>
      <c r="H51" s="150">
        <f>Data!$I$30</f>
        <v>937.7</v>
      </c>
      <c r="I51" s="151">
        <f>+ROUND((H51*G51),0)</f>
        <v>113</v>
      </c>
    </row>
    <row r="52" spans="1:9" ht="60" customHeight="1" x14ac:dyDescent="0.25">
      <c r="A52" s="146">
        <v>4</v>
      </c>
      <c r="B52" s="2092" t="s">
        <v>146</v>
      </c>
      <c r="C52" s="2093"/>
      <c r="D52" s="2093"/>
      <c r="E52" s="2093"/>
      <c r="F52" s="90"/>
      <c r="G52" s="90"/>
      <c r="H52" s="90"/>
      <c r="I52" s="90"/>
    </row>
    <row r="53" spans="1:9" ht="21.75" customHeight="1" x14ac:dyDescent="0.25">
      <c r="A53" s="90"/>
      <c r="B53" s="90"/>
      <c r="C53" s="153" t="s">
        <v>147</v>
      </c>
      <c r="D53" s="149">
        <f>+E23+C23</f>
        <v>1</v>
      </c>
      <c r="E53" s="149">
        <f>+C21</f>
        <v>1.3</v>
      </c>
      <c r="F53" s="154">
        <f>+C23</f>
        <v>0.1</v>
      </c>
      <c r="G53" s="149">
        <f>+ROUND((22/7)*D53*C23*(C21),2)</f>
        <v>0.41</v>
      </c>
      <c r="H53" s="149">
        <f>Data!$I$699</f>
        <v>21438.1</v>
      </c>
      <c r="I53" s="151">
        <f>+ROUND((H53*G53),0)</f>
        <v>8790</v>
      </c>
    </row>
    <row r="54" spans="1:9" ht="69" customHeight="1" x14ac:dyDescent="0.25">
      <c r="A54" s="146">
        <v>5</v>
      </c>
      <c r="B54" s="2092" t="s">
        <v>148</v>
      </c>
      <c r="C54" s="2093"/>
      <c r="D54" s="2093"/>
      <c r="E54" s="2093"/>
      <c r="F54" s="90"/>
      <c r="G54" s="90"/>
      <c r="H54" s="90"/>
      <c r="I54" s="152"/>
    </row>
    <row r="55" spans="1:9" x14ac:dyDescent="0.25">
      <c r="A55" s="90"/>
      <c r="B55" s="155" t="s">
        <v>149</v>
      </c>
      <c r="C55" s="148" t="s">
        <v>143</v>
      </c>
      <c r="E55" s="149">
        <f>+E15</f>
        <v>1.25</v>
      </c>
      <c r="F55" s="149">
        <f>+E15</f>
        <v>1.25</v>
      </c>
      <c r="G55" s="149">
        <f>+(22/28)*E55*F55</f>
        <v>1.2276785714285714</v>
      </c>
      <c r="H55" s="155"/>
      <c r="I55" s="151"/>
    </row>
    <row r="56" spans="1:9" x14ac:dyDescent="0.25">
      <c r="A56" s="90"/>
      <c r="B56" s="156" t="s">
        <v>150</v>
      </c>
      <c r="C56" s="148" t="s">
        <v>143</v>
      </c>
      <c r="E56" s="149">
        <v>0.23</v>
      </c>
      <c r="F56" s="149">
        <v>0.23</v>
      </c>
      <c r="G56" s="149">
        <f>+(22/28)*E56*F56</f>
        <v>4.1564285714285713E-2</v>
      </c>
      <c r="H56" s="149"/>
      <c r="I56" s="151"/>
    </row>
    <row r="57" spans="1:9" x14ac:dyDescent="0.25">
      <c r="A57" s="90"/>
      <c r="B57" s="147"/>
      <c r="C57" s="90"/>
      <c r="D57" s="147"/>
      <c r="E57" s="149"/>
      <c r="F57" s="157" t="s">
        <v>23</v>
      </c>
      <c r="G57" s="158">
        <f>+G55-G56</f>
        <v>1.1861142857142857</v>
      </c>
      <c r="H57" s="149">
        <f>Data!$I$725</f>
        <v>7284.3</v>
      </c>
      <c r="I57" s="151">
        <f>+ROUND((H57*G57*0.1),0)</f>
        <v>864</v>
      </c>
    </row>
    <row r="58" spans="1:9" ht="48.75" customHeight="1" x14ac:dyDescent="0.25">
      <c r="A58" s="146">
        <v>6</v>
      </c>
      <c r="B58" s="2094" t="s">
        <v>151</v>
      </c>
      <c r="C58" s="2093"/>
      <c r="D58" s="2093"/>
      <c r="E58" s="2093"/>
      <c r="F58" s="90"/>
      <c r="G58" s="90"/>
      <c r="H58" s="90"/>
      <c r="I58" s="152"/>
    </row>
    <row r="59" spans="1:9" x14ac:dyDescent="0.25">
      <c r="A59" s="147"/>
      <c r="B59" s="155" t="s">
        <v>152</v>
      </c>
      <c r="C59" s="90"/>
      <c r="D59" s="153" t="s">
        <v>147</v>
      </c>
      <c r="E59" s="149">
        <f>+(E23)</f>
        <v>0.9</v>
      </c>
      <c r="F59" s="149">
        <f>+C21</f>
        <v>1.3</v>
      </c>
      <c r="G59" s="149">
        <f>+(3.14285714285714)*E59*F59</f>
        <v>3.6771428571428539</v>
      </c>
      <c r="H59" s="155"/>
      <c r="I59" s="151"/>
    </row>
    <row r="60" spans="1:9" x14ac:dyDescent="0.25">
      <c r="A60" s="90"/>
      <c r="B60" s="155" t="s">
        <v>153</v>
      </c>
      <c r="C60" s="90"/>
      <c r="D60" s="148" t="s">
        <v>143</v>
      </c>
      <c r="E60" s="149">
        <f>+E59</f>
        <v>0.9</v>
      </c>
      <c r="F60" s="149">
        <f>+E60</f>
        <v>0.9</v>
      </c>
      <c r="G60" s="149">
        <f>+(0.785714285714286)*E60*F60</f>
        <v>0.63642857142857168</v>
      </c>
      <c r="H60" s="149"/>
      <c r="I60" s="151"/>
    </row>
    <row r="61" spans="1:9" x14ac:dyDescent="0.25">
      <c r="A61" s="90"/>
      <c r="B61" s="155" t="s">
        <v>154</v>
      </c>
      <c r="C61" s="90"/>
      <c r="D61" s="148" t="s">
        <v>143</v>
      </c>
      <c r="E61" s="149">
        <f>+E15</f>
        <v>1.25</v>
      </c>
      <c r="F61" s="149">
        <f>+E61</f>
        <v>1.25</v>
      </c>
      <c r="G61" s="149">
        <f>+(0.785714285714286)*E61*F61</f>
        <v>1.2276785714285718</v>
      </c>
      <c r="H61" s="149"/>
      <c r="I61" s="151"/>
    </row>
    <row r="62" spans="1:9" x14ac:dyDescent="0.25">
      <c r="A62" s="90"/>
      <c r="B62" s="155" t="s">
        <v>155</v>
      </c>
      <c r="C62" s="90"/>
      <c r="D62" s="148" t="s">
        <v>143</v>
      </c>
      <c r="E62" s="149">
        <v>0.23</v>
      </c>
      <c r="F62" s="149">
        <v>0.23</v>
      </c>
      <c r="G62" s="149">
        <f>+(0.785714285714286)*E62*F62</f>
        <v>4.1564285714285734E-2</v>
      </c>
      <c r="H62" s="149"/>
      <c r="I62" s="151"/>
    </row>
    <row r="63" spans="1:9" x14ac:dyDescent="0.25">
      <c r="A63" s="90"/>
      <c r="B63" s="159"/>
      <c r="C63" s="90"/>
      <c r="D63" s="147"/>
      <c r="E63" s="149"/>
      <c r="F63" s="157" t="s">
        <v>23</v>
      </c>
      <c r="G63" s="149">
        <f>+G59+G60+G61-G62</f>
        <v>5.4996857142857118</v>
      </c>
      <c r="H63" s="149">
        <f>Data!$I$670</f>
        <v>1491.9</v>
      </c>
      <c r="I63" s="151">
        <f>+ROUND((H63*G63*0.1),0)</f>
        <v>820</v>
      </c>
    </row>
    <row r="64" spans="1:9" ht="45.75" customHeight="1" x14ac:dyDescent="0.25">
      <c r="A64" s="146">
        <v>7</v>
      </c>
      <c r="B64" s="2092" t="s">
        <v>156</v>
      </c>
      <c r="C64" s="2093"/>
      <c r="D64" s="2093"/>
      <c r="E64" s="2093"/>
      <c r="F64" s="90"/>
      <c r="G64" s="90"/>
      <c r="H64" s="90"/>
      <c r="I64" s="152"/>
    </row>
    <row r="65" spans="1:9" x14ac:dyDescent="0.25">
      <c r="A65" s="90"/>
      <c r="B65" s="90"/>
      <c r="C65" s="90"/>
      <c r="D65" s="90"/>
      <c r="E65" s="90"/>
      <c r="F65" s="90"/>
      <c r="G65" s="160">
        <f>+(G53+G57*0.1)*0.055</f>
        <v>2.9073628571428568E-2</v>
      </c>
      <c r="H65" s="149">
        <f>Data!$H$327</f>
        <v>60670.400000000001</v>
      </c>
      <c r="I65" s="151">
        <f>+ROUND((H65*G65),0)</f>
        <v>1764</v>
      </c>
    </row>
    <row r="66" spans="1:9" x14ac:dyDescent="0.25">
      <c r="A66" s="90"/>
      <c r="B66" s="155"/>
      <c r="C66" s="155"/>
      <c r="D66" s="155"/>
      <c r="E66" s="155"/>
      <c r="F66" s="155"/>
      <c r="G66" s="155"/>
      <c r="H66" s="161" t="s">
        <v>23</v>
      </c>
      <c r="I66" s="151">
        <f>SUM(I47:I65)</f>
        <v>13464</v>
      </c>
    </row>
    <row r="67" spans="1:9" x14ac:dyDescent="0.25">
      <c r="A67" s="90"/>
      <c r="B67" s="162" t="s">
        <v>1961</v>
      </c>
      <c r="C67" s="163"/>
      <c r="D67" s="163"/>
      <c r="E67" s="164"/>
      <c r="F67" s="155"/>
      <c r="G67" s="155"/>
      <c r="H67" s="155"/>
      <c r="I67" s="165">
        <f>+ROUND(I66+I66*$E$5,0)</f>
        <v>20196</v>
      </c>
    </row>
    <row r="68" spans="1:9" x14ac:dyDescent="0.25">
      <c r="A68" s="90"/>
      <c r="B68" s="166"/>
      <c r="C68" s="90"/>
      <c r="D68" s="90"/>
      <c r="E68" s="90"/>
      <c r="F68" s="90"/>
      <c r="G68" s="90"/>
      <c r="H68" s="90"/>
      <c r="I68" s="90"/>
    </row>
    <row r="69" spans="1:9" hidden="1" x14ac:dyDescent="0.25">
      <c r="E69" s="167">
        <f>+E77+C77*2+2*0.075</f>
        <v>1.4</v>
      </c>
    </row>
    <row r="70" spans="1:9" hidden="1" x14ac:dyDescent="0.25">
      <c r="A70" t="s">
        <v>121</v>
      </c>
      <c r="C70" s="108">
        <f>((INT(((SQRT(((J69*25+2.5)*(((E77+2*C77+0.3)*0.5)^2)*0.1875)*865.05))*0.001)*20))*0.05)+0.1</f>
        <v>0.1</v>
      </c>
    </row>
    <row r="71" spans="1:9" hidden="1" x14ac:dyDescent="0.25">
      <c r="C71" s="97"/>
      <c r="D71" s="111"/>
      <c r="E71" s="112">
        <v>0.23</v>
      </c>
      <c r="F71" s="97"/>
      <c r="G71" s="97"/>
      <c r="H71" s="97"/>
    </row>
    <row r="72" spans="1:9" hidden="1" x14ac:dyDescent="0.25">
      <c r="A72" s="107"/>
      <c r="B72" s="113"/>
      <c r="C72" s="102"/>
      <c r="D72" s="97"/>
      <c r="E72" s="97"/>
      <c r="F72" s="97"/>
      <c r="G72" s="114"/>
      <c r="H72" s="97"/>
    </row>
    <row r="73" spans="1:9" hidden="1" x14ac:dyDescent="0.25">
      <c r="D73" s="97"/>
      <c r="G73" s="97"/>
      <c r="H73" s="97"/>
    </row>
    <row r="74" spans="1:9" hidden="1" x14ac:dyDescent="0.25">
      <c r="D74" s="97"/>
      <c r="E74" s="97"/>
      <c r="F74" s="97"/>
      <c r="G74" s="97"/>
      <c r="H74" s="97"/>
    </row>
    <row r="75" spans="1:9" hidden="1" x14ac:dyDescent="0.25">
      <c r="A75" s="107" t="s">
        <v>114</v>
      </c>
      <c r="C75" s="102">
        <v>1.3</v>
      </c>
      <c r="D75" s="97"/>
      <c r="E75" s="97"/>
      <c r="F75" s="97"/>
      <c r="G75" s="97"/>
      <c r="H75" s="97"/>
    </row>
    <row r="76" spans="1:9" hidden="1" x14ac:dyDescent="0.25">
      <c r="C76" s="119"/>
      <c r="D76" s="97"/>
      <c r="E76" s="97"/>
      <c r="F76" s="97"/>
      <c r="G76" s="97"/>
      <c r="H76" s="97"/>
    </row>
    <row r="77" spans="1:9" hidden="1" x14ac:dyDescent="0.25">
      <c r="A77" s="113" t="s">
        <v>123</v>
      </c>
      <c r="B77" s="113"/>
      <c r="C77" s="102">
        <v>0.1</v>
      </c>
      <c r="D77" s="97"/>
      <c r="E77" s="121">
        <v>1.05</v>
      </c>
      <c r="F77" s="97"/>
      <c r="G77" s="97"/>
      <c r="H77" s="97"/>
    </row>
    <row r="78" spans="1:9" hidden="1" x14ac:dyDescent="0.25">
      <c r="A78" s="113"/>
      <c r="B78" s="113"/>
      <c r="C78" s="119"/>
      <c r="D78" s="97"/>
      <c r="E78" s="97"/>
      <c r="F78" s="97"/>
      <c r="G78" s="97"/>
      <c r="H78" s="97"/>
    </row>
    <row r="79" spans="1:9" hidden="1" x14ac:dyDescent="0.25">
      <c r="A79" s="113"/>
      <c r="B79" s="113"/>
      <c r="C79" s="123"/>
      <c r="D79" s="97"/>
      <c r="E79" s="97"/>
      <c r="F79" s="97"/>
      <c r="G79" s="124"/>
      <c r="H79" s="97"/>
    </row>
    <row r="80" spans="1:9" hidden="1" x14ac:dyDescent="0.25">
      <c r="A80" s="113"/>
      <c r="B80" s="113"/>
      <c r="C80" s="113"/>
      <c r="D80" s="97"/>
      <c r="E80" s="97"/>
      <c r="F80" s="97"/>
      <c r="G80" s="97"/>
      <c r="H80" s="97"/>
    </row>
    <row r="81" spans="1:9" hidden="1" x14ac:dyDescent="0.25">
      <c r="A81" s="107"/>
      <c r="B81" s="113"/>
      <c r="C81" s="109"/>
      <c r="D81" s="97"/>
      <c r="E81" s="97"/>
      <c r="F81" s="97"/>
      <c r="G81" s="97"/>
      <c r="H81" s="97"/>
    </row>
    <row r="82" spans="1:9" hidden="1" x14ac:dyDescent="0.25">
      <c r="C82" s="119"/>
      <c r="D82" s="97"/>
      <c r="E82" s="97"/>
      <c r="F82" s="97"/>
      <c r="G82" s="97"/>
      <c r="H82" s="113" t="s">
        <v>124</v>
      </c>
      <c r="I82" s="126">
        <v>0.15</v>
      </c>
    </row>
    <row r="83" spans="1:9" hidden="1" x14ac:dyDescent="0.25">
      <c r="C83" s="97"/>
      <c r="D83" s="97"/>
      <c r="E83" s="167">
        <f>+E77+C77*2+2*0.075</f>
        <v>1.4</v>
      </c>
      <c r="F83" s="97"/>
      <c r="G83" s="97"/>
      <c r="H83" s="113" t="s">
        <v>125</v>
      </c>
      <c r="I83" s="126">
        <v>0.1</v>
      </c>
    </row>
    <row r="84" spans="1:9" hidden="1" x14ac:dyDescent="0.25"/>
    <row r="85" spans="1:9" hidden="1" x14ac:dyDescent="0.25">
      <c r="D85" s="127" t="s">
        <v>126</v>
      </c>
      <c r="F85" s="128"/>
      <c r="G85" s="100" t="str">
        <f>+I96</f>
        <v>150-300 mm</v>
      </c>
    </row>
    <row r="86" spans="1:9" hidden="1" x14ac:dyDescent="0.25"/>
    <row r="87" spans="1:9" hidden="1" x14ac:dyDescent="0.25">
      <c r="A87" t="s">
        <v>127</v>
      </c>
      <c r="D87" s="105" t="s">
        <v>128</v>
      </c>
    </row>
    <row r="88" spans="1:9" hidden="1" x14ac:dyDescent="0.25">
      <c r="A88" t="s">
        <v>129</v>
      </c>
      <c r="D88" t="s">
        <v>130</v>
      </c>
    </row>
    <row r="89" spans="1:9" hidden="1" x14ac:dyDescent="0.25">
      <c r="A89" s="105" t="s">
        <v>131</v>
      </c>
    </row>
    <row r="90" spans="1:9" hidden="1" x14ac:dyDescent="0.25">
      <c r="A90" s="105" t="s">
        <v>132</v>
      </c>
    </row>
    <row r="91" spans="1:9" hidden="1" x14ac:dyDescent="0.25"/>
    <row r="92" spans="1:9" hidden="1" x14ac:dyDescent="0.25"/>
    <row r="93" spans="1:9" hidden="1" x14ac:dyDescent="0.25"/>
    <row r="94" spans="1:9" x14ac:dyDescent="0.25">
      <c r="A94" s="131" t="s">
        <v>133</v>
      </c>
      <c r="B94" s="132"/>
      <c r="C94" s="132"/>
      <c r="D94" s="132"/>
      <c r="E94" s="132"/>
      <c r="F94" s="132"/>
      <c r="G94" s="132"/>
      <c r="H94" s="132"/>
      <c r="I94" s="132"/>
    </row>
    <row r="95" spans="1:9" x14ac:dyDescent="0.25">
      <c r="A95" s="131"/>
      <c r="B95" s="132"/>
      <c r="C95" s="168"/>
      <c r="D95" s="135"/>
      <c r="E95" s="168"/>
      <c r="F95" s="135"/>
      <c r="G95" s="135"/>
      <c r="H95" s="135"/>
      <c r="I95" s="132"/>
    </row>
    <row r="96" spans="1:9" x14ac:dyDescent="0.25">
      <c r="A96" s="136" t="s">
        <v>134</v>
      </c>
      <c r="F96" s="137"/>
      <c r="G96" s="138">
        <f>+E77</f>
        <v>1.05</v>
      </c>
      <c r="H96" s="139" t="s">
        <v>135</v>
      </c>
      <c r="I96" s="140" t="str">
        <f>+LOOKUP(G96,RAM!$G$124:$G$127,RAM!$H$124:$H$127)</f>
        <v>150-300 mm</v>
      </c>
    </row>
    <row r="97" spans="1:9" x14ac:dyDescent="0.25">
      <c r="A97" s="110"/>
      <c r="F97" s="137"/>
      <c r="G97" s="110"/>
      <c r="H97" s="97"/>
    </row>
    <row r="98" spans="1:9" x14ac:dyDescent="0.25">
      <c r="A98" s="141"/>
      <c r="B98" s="141"/>
      <c r="C98" s="141"/>
      <c r="D98" s="141"/>
      <c r="E98" s="141"/>
      <c r="F98" s="141"/>
      <c r="G98" s="141"/>
      <c r="H98" s="142" t="s">
        <v>136</v>
      </c>
      <c r="I98" s="143">
        <f>+I121</f>
        <v>23402</v>
      </c>
    </row>
    <row r="99" spans="1:9" x14ac:dyDescent="0.25">
      <c r="A99" s="144" t="s">
        <v>137</v>
      </c>
      <c r="B99" s="2096" t="s">
        <v>138</v>
      </c>
      <c r="C99" s="2096"/>
      <c r="D99" s="2096"/>
      <c r="E99" s="2096"/>
      <c r="F99" s="2095"/>
      <c r="G99" s="2095" t="s">
        <v>139</v>
      </c>
      <c r="H99" s="145" t="s">
        <v>140</v>
      </c>
      <c r="I99" s="145" t="s">
        <v>141</v>
      </c>
    </row>
    <row r="100" spans="1:9" ht="35.25" customHeight="1" x14ac:dyDescent="0.25">
      <c r="A100" s="146">
        <v>1</v>
      </c>
      <c r="B100" s="2094" t="s">
        <v>142</v>
      </c>
      <c r="C100" s="2093"/>
      <c r="D100" s="2093"/>
      <c r="E100" s="2093"/>
      <c r="F100" s="90"/>
      <c r="G100" s="90"/>
      <c r="H100" s="90"/>
      <c r="I100" s="90"/>
    </row>
    <row r="101" spans="1:9" x14ac:dyDescent="0.25">
      <c r="A101" s="90"/>
      <c r="B101" s="147"/>
      <c r="C101" s="90"/>
      <c r="D101" s="148" t="s">
        <v>143</v>
      </c>
      <c r="E101" s="149">
        <f>+E83</f>
        <v>1.4</v>
      </c>
      <c r="F101" s="149">
        <f>+E101</f>
        <v>1.4</v>
      </c>
      <c r="G101" s="149">
        <f>+(22/28)*F101*E101*1.55</f>
        <v>2.3869999999999996</v>
      </c>
      <c r="H101" s="150">
        <f>Data!$I$12</f>
        <v>158.80000000000001</v>
      </c>
      <c r="I101" s="151">
        <f>+ROUND((H101*G101),0)</f>
        <v>379</v>
      </c>
    </row>
    <row r="102" spans="1:9" ht="50.25" customHeight="1" x14ac:dyDescent="0.25">
      <c r="A102" s="146">
        <v>2</v>
      </c>
      <c r="B102" s="2094" t="s">
        <v>144</v>
      </c>
      <c r="C102" s="2093"/>
      <c r="D102" s="2093"/>
      <c r="E102" s="2093"/>
      <c r="F102" s="90"/>
      <c r="G102" s="90"/>
      <c r="H102" s="90"/>
      <c r="I102" s="90"/>
    </row>
    <row r="103" spans="1:9" x14ac:dyDescent="0.25">
      <c r="A103" s="90"/>
      <c r="B103" s="90"/>
      <c r="C103" s="90"/>
      <c r="D103" s="148" t="s">
        <v>143</v>
      </c>
      <c r="E103" s="149">
        <f>+E83</f>
        <v>1.4</v>
      </c>
      <c r="F103" s="149">
        <f>I82</f>
        <v>0.15</v>
      </c>
      <c r="G103" s="149">
        <f>+(22/28)*E103*E103*F103</f>
        <v>0.23099999999999996</v>
      </c>
      <c r="H103" s="150">
        <f>Data!$I$690</f>
        <v>4503.5</v>
      </c>
      <c r="I103" s="151">
        <f>+ROUND((H103*G103),0)</f>
        <v>1040</v>
      </c>
    </row>
    <row r="104" spans="1:9" ht="43.5" customHeight="1" x14ac:dyDescent="0.25">
      <c r="A104" s="146">
        <v>3</v>
      </c>
      <c r="B104" s="2094" t="s">
        <v>145</v>
      </c>
      <c r="C104" s="2093"/>
      <c r="D104" s="2093"/>
      <c r="E104" s="2093"/>
      <c r="F104" s="90"/>
      <c r="G104" s="90"/>
      <c r="H104" s="90"/>
      <c r="I104" s="152"/>
    </row>
    <row r="105" spans="1:9" x14ac:dyDescent="0.25">
      <c r="A105" s="90"/>
      <c r="B105" s="147"/>
      <c r="C105" s="90"/>
      <c r="D105" s="148" t="s">
        <v>143</v>
      </c>
      <c r="E105" s="149">
        <f>+E83</f>
        <v>1.4</v>
      </c>
      <c r="F105" s="149">
        <f>I83</f>
        <v>0.1</v>
      </c>
      <c r="G105" s="149">
        <f>+(22/28)*E105*E105*F105</f>
        <v>0.154</v>
      </c>
      <c r="H105" s="150">
        <f>Data!$I$30</f>
        <v>937.7</v>
      </c>
      <c r="I105" s="151">
        <f>+ROUND((H105*G105),0)</f>
        <v>144</v>
      </c>
    </row>
    <row r="106" spans="1:9" ht="54.75" customHeight="1" x14ac:dyDescent="0.25">
      <c r="A106" s="146">
        <v>4</v>
      </c>
      <c r="B106" s="2092" t="s">
        <v>157</v>
      </c>
      <c r="C106" s="2093"/>
      <c r="D106" s="2093"/>
      <c r="E106" s="2093"/>
      <c r="F106" s="90"/>
      <c r="G106" s="90"/>
      <c r="H106" s="90"/>
      <c r="I106" s="90"/>
    </row>
    <row r="107" spans="1:9" x14ac:dyDescent="0.25">
      <c r="A107" s="90"/>
      <c r="B107" s="90"/>
      <c r="C107" s="90"/>
      <c r="D107" s="153" t="s">
        <v>147</v>
      </c>
      <c r="E107" s="149">
        <f>+E77+C77</f>
        <v>1.1500000000000001</v>
      </c>
      <c r="F107" s="149">
        <f>+C75</f>
        <v>1.3</v>
      </c>
      <c r="G107" s="149">
        <f>+(22/7)*E107*C77*(C75)</f>
        <v>0.46985714285714297</v>
      </c>
      <c r="H107" s="149">
        <f>Data!$I$699</f>
        <v>21438.1</v>
      </c>
      <c r="I107" s="151">
        <f>+ROUND((H107*G107),0)</f>
        <v>10073</v>
      </c>
    </row>
    <row r="108" spans="1:9" ht="60" customHeight="1" x14ac:dyDescent="0.25">
      <c r="A108" s="146">
        <v>5</v>
      </c>
      <c r="B108" s="2092" t="s">
        <v>148</v>
      </c>
      <c r="C108" s="2093"/>
      <c r="D108" s="2093"/>
      <c r="E108" s="2093"/>
      <c r="F108" s="90"/>
      <c r="G108" s="90"/>
      <c r="H108" s="90"/>
      <c r="I108" s="152"/>
    </row>
    <row r="109" spans="1:9" x14ac:dyDescent="0.25">
      <c r="A109" s="90"/>
      <c r="B109" s="155" t="s">
        <v>149</v>
      </c>
      <c r="C109" s="90"/>
      <c r="D109" s="148" t="s">
        <v>143</v>
      </c>
      <c r="E109" s="149">
        <f>+E69</f>
        <v>1.4</v>
      </c>
      <c r="F109" s="149">
        <f>+E69</f>
        <v>1.4</v>
      </c>
      <c r="G109" s="149">
        <f>+(22/28)*E109*F109</f>
        <v>1.5399999999999998</v>
      </c>
      <c r="H109" s="155"/>
      <c r="I109" s="151"/>
    </row>
    <row r="110" spans="1:9" x14ac:dyDescent="0.25">
      <c r="A110" s="90"/>
      <c r="B110" s="156" t="s">
        <v>150</v>
      </c>
      <c r="C110" s="90"/>
      <c r="D110" s="148" t="s">
        <v>143</v>
      </c>
      <c r="E110" s="149">
        <v>0.23</v>
      </c>
      <c r="F110" s="149">
        <v>0.23</v>
      </c>
      <c r="G110" s="149">
        <f>+(22/28)*E110*F110</f>
        <v>4.1564285714285713E-2</v>
      </c>
      <c r="H110" s="149"/>
      <c r="I110" s="151"/>
    </row>
    <row r="111" spans="1:9" x14ac:dyDescent="0.25">
      <c r="A111" s="90"/>
      <c r="B111" s="147"/>
      <c r="C111" s="90"/>
      <c r="D111" s="147"/>
      <c r="E111" s="149"/>
      <c r="F111" s="157" t="s">
        <v>23</v>
      </c>
      <c r="G111" s="158">
        <f>+G109-G110</f>
        <v>1.4984357142857141</v>
      </c>
      <c r="H111" s="149">
        <f>Data!$I$725</f>
        <v>7284.3</v>
      </c>
      <c r="I111" s="151">
        <f>+ROUND((H111*G111*0.1),0)</f>
        <v>1092</v>
      </c>
    </row>
    <row r="112" spans="1:9" ht="52.5" customHeight="1" x14ac:dyDescent="0.25">
      <c r="A112" s="146">
        <v>6</v>
      </c>
      <c r="B112" s="2094" t="s">
        <v>151</v>
      </c>
      <c r="C112" s="2093"/>
      <c r="D112" s="2093"/>
      <c r="E112" s="2093"/>
      <c r="F112" s="90"/>
      <c r="G112" s="90"/>
      <c r="H112" s="90"/>
      <c r="I112" s="152"/>
    </row>
    <row r="113" spans="1:9" x14ac:dyDescent="0.25">
      <c r="A113" s="147"/>
      <c r="B113" s="155" t="s">
        <v>152</v>
      </c>
      <c r="C113" s="90"/>
      <c r="D113" s="153" t="s">
        <v>147</v>
      </c>
      <c r="E113" s="149">
        <f>+(E77)</f>
        <v>1.05</v>
      </c>
      <c r="F113" s="149">
        <f>+C75</f>
        <v>1.3</v>
      </c>
      <c r="G113" s="149">
        <f>+(3.14285714285714)*E113*F113</f>
        <v>4.2899999999999965</v>
      </c>
      <c r="H113" s="155"/>
      <c r="I113" s="151"/>
    </row>
    <row r="114" spans="1:9" x14ac:dyDescent="0.25">
      <c r="A114" s="90"/>
      <c r="B114" s="155" t="s">
        <v>153</v>
      </c>
      <c r="C114" s="90"/>
      <c r="D114" s="148" t="s">
        <v>143</v>
      </c>
      <c r="E114" s="149">
        <f>+E113</f>
        <v>1.05</v>
      </c>
      <c r="F114" s="149">
        <f>+E114</f>
        <v>1.05</v>
      </c>
      <c r="G114" s="149">
        <f>+(0.785714285714286)*E114*F114</f>
        <v>0.86625000000000041</v>
      </c>
      <c r="H114" s="149"/>
      <c r="I114" s="151"/>
    </row>
    <row r="115" spans="1:9" x14ac:dyDescent="0.25">
      <c r="A115" s="90"/>
      <c r="B115" s="155" t="s">
        <v>154</v>
      </c>
      <c r="C115" s="90"/>
      <c r="D115" s="148" t="s">
        <v>143</v>
      </c>
      <c r="E115" s="149">
        <f>+E69</f>
        <v>1.4</v>
      </c>
      <c r="F115" s="149">
        <f>+E115</f>
        <v>1.4</v>
      </c>
      <c r="G115" s="149">
        <f>+(0.785714285714286)*E115*F115</f>
        <v>1.5400000000000003</v>
      </c>
      <c r="H115" s="149"/>
      <c r="I115" s="151"/>
    </row>
    <row r="116" spans="1:9" x14ac:dyDescent="0.25">
      <c r="A116" s="90"/>
      <c r="B116" s="155" t="s">
        <v>155</v>
      </c>
      <c r="C116" s="90"/>
      <c r="D116" s="148" t="s">
        <v>143</v>
      </c>
      <c r="E116" s="149">
        <v>0.23</v>
      </c>
      <c r="F116" s="149">
        <v>0.23</v>
      </c>
      <c r="G116" s="149">
        <f>+(0.785714285714286)*E116*F116</f>
        <v>4.1564285714285734E-2</v>
      </c>
      <c r="H116" s="149"/>
      <c r="I116" s="151"/>
    </row>
    <row r="117" spans="1:9" x14ac:dyDescent="0.25">
      <c r="A117" s="90"/>
      <c r="B117" s="159"/>
      <c r="C117" s="90"/>
      <c r="D117" s="147"/>
      <c r="E117" s="149"/>
      <c r="F117" s="157" t="s">
        <v>23</v>
      </c>
      <c r="G117" s="149">
        <f>+G113+G114+G115-G116</f>
        <v>6.6546857142857103</v>
      </c>
      <c r="H117" s="149">
        <f>Data!$I$670</f>
        <v>1491.9</v>
      </c>
      <c r="I117" s="151">
        <f>+ROUND((H117*G117*0.1),0)</f>
        <v>993</v>
      </c>
    </row>
    <row r="118" spans="1:9" ht="47.25" customHeight="1" x14ac:dyDescent="0.25">
      <c r="A118" s="146">
        <v>7</v>
      </c>
      <c r="B118" s="2092" t="s">
        <v>156</v>
      </c>
      <c r="C118" s="2093"/>
      <c r="D118" s="2093"/>
      <c r="E118" s="2093"/>
      <c r="F118" s="90"/>
      <c r="G118" s="90"/>
      <c r="H118" s="90"/>
      <c r="I118" s="152"/>
    </row>
    <row r="119" spans="1:9" x14ac:dyDescent="0.25">
      <c r="A119" s="90"/>
      <c r="B119" s="90"/>
      <c r="C119" s="90"/>
      <c r="D119" s="90"/>
      <c r="E119" s="90"/>
      <c r="F119" s="90"/>
      <c r="G119" s="160">
        <f>+(G107+G111*0.1)*0.05</f>
        <v>3.0985035714285722E-2</v>
      </c>
      <c r="H119" s="149">
        <f>Data!$H$327</f>
        <v>60670.400000000001</v>
      </c>
      <c r="I119" s="151">
        <f>+ROUND((H119*G119),0)</f>
        <v>1880</v>
      </c>
    </row>
    <row r="120" spans="1:9" x14ac:dyDescent="0.25">
      <c r="A120" s="90"/>
      <c r="B120" s="155"/>
      <c r="C120" s="155"/>
      <c r="D120" s="155"/>
      <c r="E120" s="155"/>
      <c r="F120" s="155"/>
      <c r="G120" s="155"/>
      <c r="H120" s="161" t="s">
        <v>23</v>
      </c>
      <c r="I120" s="151">
        <f>SUM(I101:I119)</f>
        <v>15601</v>
      </c>
    </row>
    <row r="121" spans="1:9" x14ac:dyDescent="0.25">
      <c r="A121" s="90"/>
      <c r="B121" s="162" t="s">
        <v>1961</v>
      </c>
      <c r="C121" s="163"/>
      <c r="D121" s="163"/>
      <c r="E121" s="164"/>
      <c r="F121" s="155"/>
      <c r="G121" s="155"/>
      <c r="H121" s="155"/>
      <c r="I121" s="165">
        <f>+ROUND(I120+I120*$E$5,0)</f>
        <v>23402</v>
      </c>
    </row>
    <row r="122" spans="1:9" x14ac:dyDescent="0.25">
      <c r="A122" s="90"/>
      <c r="B122" s="90"/>
      <c r="C122" s="90"/>
      <c r="D122" s="90"/>
      <c r="E122" s="90"/>
      <c r="F122" s="90"/>
      <c r="G122" s="90"/>
      <c r="H122" s="90"/>
      <c r="I122" s="90"/>
    </row>
    <row r="123" spans="1:9" ht="15" hidden="1" customHeight="1" x14ac:dyDescent="0.25">
      <c r="A123" s="90"/>
      <c r="B123" s="166"/>
      <c r="C123" s="90"/>
      <c r="D123" s="147"/>
      <c r="E123" s="150"/>
      <c r="F123" s="150"/>
      <c r="G123" s="169"/>
      <c r="H123" s="150"/>
      <c r="I123" s="152"/>
    </row>
    <row r="124" spans="1:9" ht="15" hidden="1" customHeight="1" x14ac:dyDescent="0.25">
      <c r="A124" s="90"/>
      <c r="B124" s="90"/>
      <c r="C124" s="90"/>
      <c r="D124" s="90"/>
      <c r="E124" s="90"/>
      <c r="F124" s="90"/>
      <c r="G124" s="90"/>
      <c r="H124" s="90"/>
      <c r="I124" s="152"/>
    </row>
    <row r="125" spans="1:9" ht="15" hidden="1" customHeight="1" x14ac:dyDescent="0.25">
      <c r="A125" s="147"/>
      <c r="B125" s="147"/>
      <c r="C125" s="90"/>
      <c r="D125" s="90"/>
      <c r="E125" s="90"/>
      <c r="F125" s="90"/>
      <c r="G125" s="90"/>
      <c r="H125" s="90"/>
      <c r="I125" s="152"/>
    </row>
    <row r="126" spans="1:9" ht="15" hidden="1" customHeight="1" x14ac:dyDescent="0.25">
      <c r="A126" s="90"/>
      <c r="B126" s="170"/>
      <c r="C126" s="90"/>
      <c r="D126" s="90"/>
      <c r="E126" s="90"/>
      <c r="F126" s="90"/>
      <c r="G126" s="90"/>
      <c r="H126" s="90"/>
      <c r="I126" s="152"/>
    </row>
    <row r="127" spans="1:9" ht="15" hidden="1" customHeight="1" x14ac:dyDescent="0.25">
      <c r="A127" s="90"/>
      <c r="B127" s="90"/>
      <c r="C127" s="90"/>
      <c r="D127" s="90"/>
      <c r="E127" s="90"/>
      <c r="F127" s="90"/>
      <c r="G127" s="90"/>
      <c r="H127" s="90"/>
      <c r="I127" s="90"/>
    </row>
    <row r="128" spans="1:9" ht="15" hidden="1" customHeight="1" x14ac:dyDescent="0.25">
      <c r="A128" s="90"/>
      <c r="B128" s="90"/>
      <c r="C128" s="90"/>
      <c r="D128" s="90"/>
      <c r="E128" s="171">
        <f>+E136+C136*2+2*0.075</f>
        <v>1.5499999999999998</v>
      </c>
      <c r="F128" s="90"/>
      <c r="G128" s="90"/>
      <c r="H128" s="90"/>
      <c r="I128" s="90"/>
    </row>
    <row r="129" spans="1:9" ht="15" hidden="1" customHeight="1" x14ac:dyDescent="0.25">
      <c r="A129" s="90" t="s">
        <v>121</v>
      </c>
      <c r="B129" s="90"/>
      <c r="C129" s="172">
        <f>((INT(((SQRT(((J128*25+2.5)*(((E136+2*C136+0.3)*0.5)^2)*0.1875)*865.05))*0.001)*20))*0.05)+0.1</f>
        <v>0.1</v>
      </c>
      <c r="D129" s="90"/>
      <c r="E129" s="90"/>
      <c r="F129" s="90"/>
      <c r="G129" s="90"/>
      <c r="H129" s="90"/>
      <c r="I129" s="90"/>
    </row>
    <row r="130" spans="1:9" ht="15" hidden="1" customHeight="1" x14ac:dyDescent="0.25">
      <c r="A130" s="90"/>
      <c r="B130" s="90"/>
      <c r="C130" s="100"/>
      <c r="D130" s="173"/>
      <c r="E130" s="174">
        <v>0.23</v>
      </c>
      <c r="F130" s="100"/>
      <c r="G130" s="100"/>
      <c r="H130" s="100"/>
      <c r="I130" s="90"/>
    </row>
    <row r="131" spans="1:9" ht="15" hidden="1" customHeight="1" x14ac:dyDescent="0.25">
      <c r="A131" s="175"/>
      <c r="B131" s="176"/>
      <c r="C131" s="177"/>
      <c r="D131" s="100"/>
      <c r="E131" s="100"/>
      <c r="F131" s="100"/>
      <c r="G131" s="178"/>
      <c r="H131" s="100"/>
      <c r="I131" s="90"/>
    </row>
    <row r="132" spans="1:9" ht="15" hidden="1" customHeight="1" x14ac:dyDescent="0.25">
      <c r="A132" s="90"/>
      <c r="B132" s="90"/>
      <c r="C132" s="90"/>
      <c r="D132" s="100"/>
      <c r="E132" s="90"/>
      <c r="F132" s="90"/>
      <c r="G132" s="100"/>
      <c r="H132" s="100"/>
      <c r="I132" s="90"/>
    </row>
    <row r="133" spans="1:9" ht="15" hidden="1" customHeight="1" x14ac:dyDescent="0.25">
      <c r="A133" s="90"/>
      <c r="B133" s="90"/>
      <c r="C133" s="90"/>
      <c r="D133" s="100"/>
      <c r="E133" s="100"/>
      <c r="F133" s="100"/>
      <c r="G133" s="100"/>
      <c r="H133" s="100"/>
      <c r="I133" s="90"/>
    </row>
    <row r="134" spans="1:9" ht="15" hidden="1" customHeight="1" x14ac:dyDescent="0.25">
      <c r="A134" s="175" t="s">
        <v>114</v>
      </c>
      <c r="B134" s="90"/>
      <c r="C134" s="177">
        <v>1.3</v>
      </c>
      <c r="D134" s="100"/>
      <c r="E134" s="100"/>
      <c r="F134" s="100"/>
      <c r="G134" s="100"/>
      <c r="H134" s="100"/>
      <c r="I134" s="90"/>
    </row>
    <row r="135" spans="1:9" ht="15" hidden="1" customHeight="1" x14ac:dyDescent="0.25">
      <c r="A135" s="90"/>
      <c r="B135" s="90"/>
      <c r="C135" s="179"/>
      <c r="D135" s="100"/>
      <c r="E135" s="100"/>
      <c r="F135" s="100"/>
      <c r="G135" s="100"/>
      <c r="H135" s="100"/>
      <c r="I135" s="90"/>
    </row>
    <row r="136" spans="1:9" ht="15" hidden="1" customHeight="1" x14ac:dyDescent="0.25">
      <c r="A136" s="176" t="s">
        <v>123</v>
      </c>
      <c r="B136" s="176"/>
      <c r="C136" s="177">
        <v>0.1</v>
      </c>
      <c r="D136" s="100"/>
      <c r="E136" s="180">
        <v>1.2</v>
      </c>
      <c r="F136" s="100"/>
      <c r="G136" s="100"/>
      <c r="H136" s="100"/>
      <c r="I136" s="90"/>
    </row>
    <row r="137" spans="1:9" ht="15" hidden="1" customHeight="1" x14ac:dyDescent="0.25">
      <c r="A137" s="176"/>
      <c r="B137" s="176"/>
      <c r="C137" s="179"/>
      <c r="D137" s="100"/>
      <c r="E137" s="100"/>
      <c r="F137" s="100"/>
      <c r="G137" s="100"/>
      <c r="H137" s="100"/>
      <c r="I137" s="90"/>
    </row>
    <row r="138" spans="1:9" ht="15" hidden="1" customHeight="1" x14ac:dyDescent="0.25">
      <c r="A138" s="176"/>
      <c r="B138" s="176"/>
      <c r="C138" s="181"/>
      <c r="D138" s="100"/>
      <c r="E138" s="100"/>
      <c r="F138" s="100"/>
      <c r="G138" s="182"/>
      <c r="H138" s="100"/>
      <c r="I138" s="90"/>
    </row>
    <row r="139" spans="1:9" ht="15" hidden="1" customHeight="1" x14ac:dyDescent="0.25">
      <c r="A139" s="176"/>
      <c r="B139" s="176"/>
      <c r="C139" s="176"/>
      <c r="D139" s="100"/>
      <c r="E139" s="100"/>
      <c r="F139" s="100"/>
      <c r="G139" s="100"/>
      <c r="H139" s="100"/>
      <c r="I139" s="90"/>
    </row>
    <row r="140" spans="1:9" ht="15" hidden="1" customHeight="1" x14ac:dyDescent="0.25">
      <c r="A140" s="175"/>
      <c r="B140" s="176"/>
      <c r="C140" s="183"/>
      <c r="D140" s="100"/>
      <c r="E140" s="100"/>
      <c r="F140" s="100"/>
      <c r="G140" s="100"/>
      <c r="H140" s="100"/>
      <c r="I140" s="90"/>
    </row>
    <row r="141" spans="1:9" ht="15" hidden="1" customHeight="1" x14ac:dyDescent="0.25">
      <c r="A141" s="90"/>
      <c r="B141" s="90"/>
      <c r="C141" s="179"/>
      <c r="D141" s="100"/>
      <c r="E141" s="100"/>
      <c r="F141" s="100"/>
      <c r="G141" s="100"/>
      <c r="H141" s="176" t="s">
        <v>124</v>
      </c>
      <c r="I141" s="184">
        <v>0.15</v>
      </c>
    </row>
    <row r="142" spans="1:9" ht="15" hidden="1" customHeight="1" x14ac:dyDescent="0.25">
      <c r="A142" s="90"/>
      <c r="B142" s="90"/>
      <c r="C142" s="100"/>
      <c r="D142" s="100"/>
      <c r="E142" s="171">
        <f>+E128</f>
        <v>1.5499999999999998</v>
      </c>
      <c r="F142" s="100"/>
      <c r="G142" s="100"/>
      <c r="H142" s="176" t="s">
        <v>125</v>
      </c>
      <c r="I142" s="184">
        <v>0.1</v>
      </c>
    </row>
    <row r="143" spans="1:9" ht="15" hidden="1" customHeight="1" x14ac:dyDescent="0.25">
      <c r="A143" s="90"/>
      <c r="B143" s="90"/>
      <c r="C143" s="90"/>
      <c r="D143" s="90"/>
      <c r="E143" s="90"/>
      <c r="F143" s="90"/>
      <c r="G143" s="90"/>
      <c r="H143" s="90"/>
      <c r="I143" s="90"/>
    </row>
    <row r="144" spans="1:9" hidden="1" x14ac:dyDescent="0.25">
      <c r="A144" s="90"/>
      <c r="B144" s="90"/>
      <c r="C144" s="90"/>
      <c r="D144" s="127" t="s">
        <v>126</v>
      </c>
      <c r="E144" s="90"/>
      <c r="F144" s="128"/>
      <c r="G144" s="100" t="str">
        <f>+I155</f>
        <v>300-450 mm</v>
      </c>
      <c r="H144" s="90"/>
      <c r="I144" s="90"/>
    </row>
    <row r="145" spans="1:10" hidden="1" x14ac:dyDescent="0.25">
      <c r="A145" s="90"/>
      <c r="B145" s="90"/>
      <c r="C145" s="90"/>
      <c r="D145" s="90"/>
      <c r="E145" s="90"/>
      <c r="F145" s="90"/>
      <c r="G145" s="90"/>
      <c r="H145" s="90"/>
      <c r="I145" s="90"/>
    </row>
    <row r="146" spans="1:10" hidden="1" x14ac:dyDescent="0.25">
      <c r="A146" s="90" t="s">
        <v>127</v>
      </c>
      <c r="B146" s="90"/>
      <c r="C146" s="90"/>
      <c r="D146" s="147" t="s">
        <v>128</v>
      </c>
      <c r="E146" s="90"/>
      <c r="F146" s="90"/>
      <c r="G146" s="90"/>
      <c r="H146" s="90"/>
      <c r="I146" s="90"/>
    </row>
    <row r="147" spans="1:10" hidden="1" x14ac:dyDescent="0.25">
      <c r="A147" s="90" t="s">
        <v>129</v>
      </c>
      <c r="B147" s="90"/>
      <c r="C147" s="90"/>
      <c r="D147" s="90" t="s">
        <v>130</v>
      </c>
      <c r="E147" s="90"/>
      <c r="F147" s="90"/>
      <c r="G147" s="90"/>
      <c r="H147" s="90"/>
      <c r="I147" s="90"/>
    </row>
    <row r="148" spans="1:10" hidden="1" x14ac:dyDescent="0.25">
      <c r="A148" s="147" t="s">
        <v>131</v>
      </c>
      <c r="B148" s="90"/>
      <c r="C148" s="90"/>
      <c r="D148" s="90"/>
      <c r="E148" s="90"/>
      <c r="F148" s="90"/>
      <c r="G148" s="90"/>
      <c r="H148" s="90"/>
      <c r="I148" s="90"/>
    </row>
    <row r="149" spans="1:10" hidden="1" x14ac:dyDescent="0.25">
      <c r="A149" s="147" t="s">
        <v>132</v>
      </c>
      <c r="B149" s="90"/>
      <c r="C149" s="90"/>
      <c r="D149" s="90"/>
      <c r="E149" s="90"/>
      <c r="F149" s="90"/>
      <c r="G149" s="90"/>
      <c r="H149" s="90"/>
      <c r="I149" s="90"/>
    </row>
    <row r="150" spans="1:10" hidden="1" x14ac:dyDescent="0.25">
      <c r="A150" s="90"/>
      <c r="B150" s="90"/>
      <c r="C150" s="90"/>
      <c r="D150" s="90"/>
      <c r="E150" s="90"/>
      <c r="F150" s="90"/>
      <c r="G150" s="90"/>
      <c r="H150" s="90"/>
      <c r="I150" s="90"/>
    </row>
    <row r="151" spans="1:10" hidden="1" x14ac:dyDescent="0.25">
      <c r="A151" s="90"/>
      <c r="B151" s="90"/>
      <c r="C151" s="90"/>
      <c r="D151" s="90"/>
      <c r="E151" s="90"/>
      <c r="F151" s="90"/>
      <c r="G151" s="90"/>
      <c r="H151" s="90"/>
      <c r="I151" s="90"/>
    </row>
    <row r="152" spans="1:10" hidden="1" x14ac:dyDescent="0.25">
      <c r="A152" s="90"/>
      <c r="B152" s="90"/>
      <c r="C152" s="90"/>
      <c r="D152" s="90"/>
      <c r="E152" s="90"/>
      <c r="F152" s="90"/>
      <c r="G152" s="90"/>
      <c r="H152" s="90"/>
      <c r="I152" s="90"/>
      <c r="J152" s="90"/>
    </row>
    <row r="153" spans="1:10" x14ac:dyDescent="0.25">
      <c r="A153" s="135" t="s">
        <v>133</v>
      </c>
      <c r="B153" s="185"/>
      <c r="C153" s="185"/>
      <c r="D153" s="185"/>
      <c r="E153" s="185"/>
      <c r="F153" s="185"/>
      <c r="G153" s="185"/>
      <c r="H153" s="185"/>
      <c r="I153" s="185"/>
      <c r="J153" s="90"/>
    </row>
    <row r="154" spans="1:10" x14ac:dyDescent="0.25">
      <c r="A154" s="135"/>
      <c r="B154" s="185"/>
      <c r="C154" s="168"/>
      <c r="D154" s="135"/>
      <c r="E154" s="168"/>
      <c r="F154" s="135"/>
      <c r="G154" s="135"/>
      <c r="H154" s="135"/>
      <c r="I154" s="185"/>
      <c r="J154" s="90"/>
    </row>
    <row r="155" spans="1:10" x14ac:dyDescent="0.25">
      <c r="A155" s="186" t="s">
        <v>134</v>
      </c>
      <c r="B155" s="90"/>
      <c r="C155" s="90"/>
      <c r="D155" s="90"/>
      <c r="E155" s="90"/>
      <c r="F155" s="187"/>
      <c r="G155" s="188">
        <f>+E136</f>
        <v>1.2</v>
      </c>
      <c r="H155" s="189" t="s">
        <v>135</v>
      </c>
      <c r="I155" s="140" t="str">
        <f>+LOOKUP(G155,RAM!$G$124:$G$127,RAM!$H$124:$H$127)</f>
        <v>300-450 mm</v>
      </c>
      <c r="J155" s="90"/>
    </row>
    <row r="156" spans="1:10" x14ac:dyDescent="0.25">
      <c r="A156" s="110"/>
      <c r="F156" s="137"/>
      <c r="G156" s="110"/>
      <c r="H156" s="97"/>
    </row>
    <row r="157" spans="1:10" x14ac:dyDescent="0.25">
      <c r="A157" s="141"/>
      <c r="B157" s="141"/>
      <c r="C157" s="141"/>
      <c r="D157" s="141"/>
      <c r="E157" s="141"/>
      <c r="F157" s="141"/>
      <c r="G157" s="141"/>
      <c r="H157" s="142" t="s">
        <v>136</v>
      </c>
      <c r="I157" s="143">
        <f>+I180</f>
        <v>26994</v>
      </c>
    </row>
    <row r="158" spans="1:10" x14ac:dyDescent="0.25">
      <c r="A158" s="144" t="s">
        <v>137</v>
      </c>
      <c r="B158" s="2096" t="s">
        <v>138</v>
      </c>
      <c r="C158" s="2096"/>
      <c r="D158" s="2096"/>
      <c r="E158" s="2096"/>
      <c r="F158" s="2095"/>
      <c r="G158" s="2095" t="s">
        <v>139</v>
      </c>
      <c r="H158" s="145" t="s">
        <v>140</v>
      </c>
      <c r="I158" s="145" t="s">
        <v>141</v>
      </c>
    </row>
    <row r="159" spans="1:10" ht="37.5" customHeight="1" x14ac:dyDescent="0.25">
      <c r="A159" s="146">
        <v>1</v>
      </c>
      <c r="B159" s="2094" t="s">
        <v>142</v>
      </c>
      <c r="C159" s="2093"/>
      <c r="D159" s="2093"/>
      <c r="E159" s="2093"/>
      <c r="F159" s="90"/>
      <c r="G159" s="90"/>
      <c r="H159" s="90"/>
      <c r="I159" s="90"/>
    </row>
    <row r="160" spans="1:10" x14ac:dyDescent="0.25">
      <c r="A160" s="90"/>
      <c r="B160" s="147"/>
      <c r="C160" s="90"/>
      <c r="D160" s="148" t="s">
        <v>143</v>
      </c>
      <c r="E160" s="149">
        <f>+E142</f>
        <v>1.5499999999999998</v>
      </c>
      <c r="F160" s="149">
        <f>+E160</f>
        <v>1.5499999999999998</v>
      </c>
      <c r="G160" s="149">
        <f>+(22/28)*F160*E160*1.55</f>
        <v>2.9259017857142853</v>
      </c>
      <c r="H160" s="150">
        <f>Data!$I$12</f>
        <v>158.80000000000001</v>
      </c>
      <c r="I160" s="151">
        <f>+ROUND((H160*G160),0)</f>
        <v>465</v>
      </c>
    </row>
    <row r="161" spans="1:9" ht="48" customHeight="1" x14ac:dyDescent="0.25">
      <c r="A161" s="146">
        <v>2</v>
      </c>
      <c r="B161" s="2094" t="s">
        <v>144</v>
      </c>
      <c r="C161" s="2093"/>
      <c r="D161" s="2093"/>
      <c r="E161" s="2093"/>
      <c r="F161" s="90"/>
      <c r="G161" s="90"/>
      <c r="H161" s="90"/>
      <c r="I161" s="90"/>
    </row>
    <row r="162" spans="1:9" x14ac:dyDescent="0.25">
      <c r="A162" s="90"/>
      <c r="B162" s="90"/>
      <c r="C162" s="90"/>
      <c r="D162" s="148" t="s">
        <v>143</v>
      </c>
      <c r="E162" s="149">
        <f>+E142</f>
        <v>1.5499999999999998</v>
      </c>
      <c r="F162" s="149">
        <f>I141</f>
        <v>0.15</v>
      </c>
      <c r="G162" s="149">
        <f>+(22/28)*E162*E162*F162</f>
        <v>0.28315178571428568</v>
      </c>
      <c r="H162" s="150">
        <f>Data!$I$690</f>
        <v>4503.5</v>
      </c>
      <c r="I162" s="151">
        <f>+ROUND((H162*G162),0)</f>
        <v>1275</v>
      </c>
    </row>
    <row r="163" spans="1:9" ht="49.5" customHeight="1" x14ac:dyDescent="0.25">
      <c r="A163" s="146">
        <v>3</v>
      </c>
      <c r="B163" s="2094" t="s">
        <v>145</v>
      </c>
      <c r="C163" s="2093"/>
      <c r="D163" s="2093"/>
      <c r="E163" s="2093"/>
      <c r="F163" s="90"/>
      <c r="G163" s="90"/>
      <c r="H163" s="90"/>
      <c r="I163" s="152"/>
    </row>
    <row r="164" spans="1:9" x14ac:dyDescent="0.25">
      <c r="A164" s="90"/>
      <c r="B164" s="147"/>
      <c r="C164" s="90"/>
      <c r="D164" s="148" t="s">
        <v>143</v>
      </c>
      <c r="E164" s="149">
        <f>+E142</f>
        <v>1.5499999999999998</v>
      </c>
      <c r="F164" s="149">
        <f>I142</f>
        <v>0.1</v>
      </c>
      <c r="G164" s="149">
        <f>+(22/28)*E164*E164*F164</f>
        <v>0.18876785714285713</v>
      </c>
      <c r="H164" s="150">
        <f>Data!$I$30</f>
        <v>937.7</v>
      </c>
      <c r="I164" s="151">
        <f>+ROUND((H164*G164),0)</f>
        <v>177</v>
      </c>
    </row>
    <row r="165" spans="1:9" ht="57.75" customHeight="1" x14ac:dyDescent="0.25">
      <c r="A165" s="146">
        <v>4</v>
      </c>
      <c r="B165" s="2092" t="s">
        <v>157</v>
      </c>
      <c r="C165" s="2093"/>
      <c r="D165" s="2093"/>
      <c r="E165" s="2093"/>
      <c r="F165" s="90"/>
      <c r="G165" s="90"/>
      <c r="H165" s="90"/>
      <c r="I165" s="90"/>
    </row>
    <row r="166" spans="1:9" x14ac:dyDescent="0.25">
      <c r="A166" s="90"/>
      <c r="B166" s="90"/>
      <c r="C166" s="90"/>
      <c r="D166" s="153" t="s">
        <v>147</v>
      </c>
      <c r="E166" s="149">
        <f>+E136+C136</f>
        <v>1.3</v>
      </c>
      <c r="F166" s="149">
        <f>+C134</f>
        <v>1.3</v>
      </c>
      <c r="G166" s="149">
        <f>+(22/7)*E166*C136*(C134)</f>
        <v>0.53114285714285714</v>
      </c>
      <c r="H166" s="149">
        <f>Data!$I$699</f>
        <v>21438.1</v>
      </c>
      <c r="I166" s="151">
        <f>+ROUND((H166*G166),0)</f>
        <v>11387</v>
      </c>
    </row>
    <row r="167" spans="1:9" ht="62.25" customHeight="1" x14ac:dyDescent="0.25">
      <c r="A167" s="146">
        <v>5</v>
      </c>
      <c r="B167" s="2092" t="s">
        <v>148</v>
      </c>
      <c r="C167" s="2093"/>
      <c r="D167" s="2093"/>
      <c r="E167" s="2093"/>
      <c r="F167" s="90"/>
      <c r="G167" s="90"/>
      <c r="H167" s="90"/>
      <c r="I167" s="152"/>
    </row>
    <row r="168" spans="1:9" x14ac:dyDescent="0.25">
      <c r="A168" s="90"/>
      <c r="B168" s="155" t="s">
        <v>149</v>
      </c>
      <c r="C168" s="90"/>
      <c r="D168" s="148" t="s">
        <v>143</v>
      </c>
      <c r="E168" s="149">
        <f>+E128</f>
        <v>1.5499999999999998</v>
      </c>
      <c r="F168" s="149">
        <f>+E128</f>
        <v>1.5499999999999998</v>
      </c>
      <c r="G168" s="149">
        <f>+(22/28)*E168*F168</f>
        <v>1.8876785714285711</v>
      </c>
      <c r="H168" s="155"/>
      <c r="I168" s="151"/>
    </row>
    <row r="169" spans="1:9" x14ac:dyDescent="0.25">
      <c r="A169" s="90"/>
      <c r="B169" s="156" t="s">
        <v>150</v>
      </c>
      <c r="C169" s="90"/>
      <c r="D169" s="148" t="s">
        <v>143</v>
      </c>
      <c r="E169" s="149">
        <v>0.23</v>
      </c>
      <c r="F169" s="149">
        <v>0.23</v>
      </c>
      <c r="G169" s="149">
        <f>+(22/28)*E169*F169</f>
        <v>4.1564285714285713E-2</v>
      </c>
      <c r="H169" s="149"/>
      <c r="I169" s="151"/>
    </row>
    <row r="170" spans="1:9" x14ac:dyDescent="0.25">
      <c r="A170" s="90"/>
      <c r="B170" s="147"/>
      <c r="C170" s="90"/>
      <c r="D170" s="90"/>
      <c r="E170" s="149"/>
      <c r="F170" s="157" t="s">
        <v>23</v>
      </c>
      <c r="G170" s="158">
        <f>+G168-G169</f>
        <v>1.8461142857142854</v>
      </c>
      <c r="H170" s="149">
        <f>Data!$I$725</f>
        <v>7284.3</v>
      </c>
      <c r="I170" s="151">
        <f>+ROUND((H170*G170*0.1),0)</f>
        <v>1345</v>
      </c>
    </row>
    <row r="171" spans="1:9" ht="51" customHeight="1" x14ac:dyDescent="0.25">
      <c r="A171" s="146">
        <v>6</v>
      </c>
      <c r="B171" s="2094" t="s">
        <v>151</v>
      </c>
      <c r="C171" s="2093"/>
      <c r="D171" s="2093"/>
      <c r="E171" s="2093"/>
      <c r="F171" s="90"/>
      <c r="G171" s="90"/>
      <c r="H171" s="90"/>
      <c r="I171" s="152"/>
    </row>
    <row r="172" spans="1:9" x14ac:dyDescent="0.25">
      <c r="A172" s="147"/>
      <c r="B172" s="155" t="s">
        <v>152</v>
      </c>
      <c r="C172" s="90"/>
      <c r="D172" s="153" t="s">
        <v>147</v>
      </c>
      <c r="E172" s="149">
        <f>+(E136)</f>
        <v>1.2</v>
      </c>
      <c r="F172" s="149">
        <f>+C134</f>
        <v>1.3</v>
      </c>
      <c r="G172" s="149">
        <f>+(3.14285714285714)*E172*F172</f>
        <v>4.9028571428571386</v>
      </c>
      <c r="H172" s="155"/>
      <c r="I172" s="151"/>
    </row>
    <row r="173" spans="1:9" x14ac:dyDescent="0.25">
      <c r="A173" s="90"/>
      <c r="B173" s="155" t="s">
        <v>153</v>
      </c>
      <c r="C173" s="90"/>
      <c r="D173" s="148" t="s">
        <v>143</v>
      </c>
      <c r="E173" s="149">
        <f>+E172</f>
        <v>1.2</v>
      </c>
      <c r="F173" s="149">
        <f>+E173</f>
        <v>1.2</v>
      </c>
      <c r="G173" s="149">
        <f>+(0.785714285714286)*E173*F173</f>
        <v>1.1314285714285717</v>
      </c>
      <c r="H173" s="149"/>
      <c r="I173" s="151"/>
    </row>
    <row r="174" spans="1:9" x14ac:dyDescent="0.25">
      <c r="A174" s="90"/>
      <c r="B174" s="155" t="s">
        <v>154</v>
      </c>
      <c r="C174" s="90"/>
      <c r="D174" s="148" t="s">
        <v>143</v>
      </c>
      <c r="E174" s="149">
        <f>+E128</f>
        <v>1.5499999999999998</v>
      </c>
      <c r="F174" s="149">
        <f>+E174</f>
        <v>1.5499999999999998</v>
      </c>
      <c r="G174" s="149">
        <f>+(0.785714285714286)*E174*F174</f>
        <v>1.8876785714285718</v>
      </c>
      <c r="H174" s="149"/>
      <c r="I174" s="151"/>
    </row>
    <row r="175" spans="1:9" x14ac:dyDescent="0.25">
      <c r="A175" s="90"/>
      <c r="B175" s="155" t="s">
        <v>155</v>
      </c>
      <c r="C175" s="90"/>
      <c r="D175" s="148" t="s">
        <v>143</v>
      </c>
      <c r="E175" s="149">
        <v>0.23</v>
      </c>
      <c r="F175" s="149">
        <v>0.23</v>
      </c>
      <c r="G175" s="149">
        <f>+(0.785714285714286)*E175*F175</f>
        <v>4.1564285714285734E-2</v>
      </c>
      <c r="H175" s="149"/>
      <c r="I175" s="151"/>
    </row>
    <row r="176" spans="1:9" x14ac:dyDescent="0.25">
      <c r="A176" s="90"/>
      <c r="B176" s="90"/>
      <c r="C176" s="90"/>
      <c r="D176" s="90"/>
      <c r="E176" s="149"/>
      <c r="F176" s="157" t="s">
        <v>23</v>
      </c>
      <c r="G176" s="149">
        <f>+G172+G173+G174-G175</f>
        <v>7.8803999999999954</v>
      </c>
      <c r="H176" s="149">
        <f>Data!$I$670</f>
        <v>1491.9</v>
      </c>
      <c r="I176" s="151">
        <f>+ROUND((H176*G176*0.1),0)</f>
        <v>1176</v>
      </c>
    </row>
    <row r="177" spans="1:9" ht="40.5" customHeight="1" x14ac:dyDescent="0.25">
      <c r="A177" s="146">
        <v>7</v>
      </c>
      <c r="B177" s="2092" t="s">
        <v>156</v>
      </c>
      <c r="C177" s="2093"/>
      <c r="D177" s="2093"/>
      <c r="E177" s="2093"/>
      <c r="F177" s="90"/>
      <c r="G177" s="90"/>
      <c r="H177" s="90"/>
      <c r="I177" s="152"/>
    </row>
    <row r="178" spans="1:9" x14ac:dyDescent="0.25">
      <c r="A178" s="90"/>
      <c r="B178" s="90"/>
      <c r="C178" s="90"/>
      <c r="D178" s="90"/>
      <c r="E178" s="90"/>
      <c r="F178" s="90"/>
      <c r="G178" s="160">
        <f>+(G166+G170*0.1)*0.05</f>
        <v>3.5787714285714284E-2</v>
      </c>
      <c r="H178" s="149">
        <f>Data!$H$327</f>
        <v>60670.400000000001</v>
      </c>
      <c r="I178" s="151">
        <f>+ROUND((H178*G178),0)</f>
        <v>2171</v>
      </c>
    </row>
    <row r="179" spans="1:9" x14ac:dyDescent="0.25">
      <c r="A179" s="155"/>
      <c r="B179" s="155"/>
      <c r="C179" s="155"/>
      <c r="D179" s="155"/>
      <c r="E179" s="155"/>
      <c r="F179" s="155"/>
      <c r="G179" s="155"/>
      <c r="H179" s="161" t="s">
        <v>23</v>
      </c>
      <c r="I179" s="151">
        <f>SUM(I160:I178)</f>
        <v>17996</v>
      </c>
    </row>
    <row r="180" spans="1:9" x14ac:dyDescent="0.25">
      <c r="A180" s="155"/>
      <c r="B180" s="162" t="s">
        <v>1961</v>
      </c>
      <c r="C180" s="163"/>
      <c r="D180" s="163"/>
      <c r="E180" s="164"/>
      <c r="F180" s="155"/>
      <c r="G180" s="155"/>
      <c r="H180" s="155"/>
      <c r="I180" s="165">
        <f>+ROUND(I179+I179*$E$5,0)</f>
        <v>26994</v>
      </c>
    </row>
    <row r="181" spans="1:9" x14ac:dyDescent="0.25">
      <c r="A181" s="155"/>
      <c r="B181" s="155"/>
      <c r="C181" s="155"/>
      <c r="D181" s="155"/>
      <c r="E181" s="155"/>
      <c r="F181" s="155"/>
      <c r="G181" s="155"/>
      <c r="H181" s="155"/>
      <c r="I181" s="190"/>
    </row>
    <row r="182" spans="1:9" hidden="1" x14ac:dyDescent="0.25">
      <c r="A182" s="90"/>
      <c r="B182" s="90"/>
      <c r="C182" s="90"/>
      <c r="D182" s="90"/>
      <c r="E182" s="191">
        <f>+E190+2*C190+2*0.075</f>
        <v>1.8499999999999999</v>
      </c>
      <c r="F182" s="90"/>
      <c r="G182" s="90"/>
      <c r="H182" s="90"/>
      <c r="I182" s="90"/>
    </row>
    <row r="183" spans="1:9" hidden="1" x14ac:dyDescent="0.25">
      <c r="A183" s="90" t="s">
        <v>121</v>
      </c>
      <c r="B183" s="90"/>
      <c r="C183" s="172">
        <f>((INT(((SQRT(((J182*25+2.5)*(((E190+2*C190+0.3)*0.5)^2)*0.1875)*865.05))*0.001)*20))*0.05)+0.1</f>
        <v>0.1</v>
      </c>
      <c r="D183" s="90"/>
      <c r="E183" s="90"/>
      <c r="F183" s="90"/>
      <c r="G183" s="90"/>
      <c r="H183" s="90"/>
      <c r="I183" s="90"/>
    </row>
    <row r="184" spans="1:9" hidden="1" x14ac:dyDescent="0.25">
      <c r="A184" s="90"/>
      <c r="B184" s="90"/>
      <c r="C184" s="100"/>
      <c r="D184" s="173"/>
      <c r="E184" s="174">
        <v>0.23</v>
      </c>
      <c r="F184" s="100"/>
      <c r="G184" s="100"/>
      <c r="H184" s="100"/>
      <c r="I184" s="90"/>
    </row>
    <row r="185" spans="1:9" hidden="1" x14ac:dyDescent="0.25">
      <c r="A185" s="175"/>
      <c r="B185" s="176"/>
      <c r="C185" s="177"/>
      <c r="D185" s="100"/>
      <c r="E185" s="100"/>
      <c r="F185" s="100"/>
      <c r="G185" s="178"/>
      <c r="H185" s="100"/>
      <c r="I185" s="90"/>
    </row>
    <row r="186" spans="1:9" hidden="1" x14ac:dyDescent="0.25">
      <c r="A186" s="90"/>
      <c r="B186" s="90"/>
      <c r="C186" s="90"/>
      <c r="D186" s="100"/>
      <c r="E186" s="90"/>
      <c r="F186" s="90"/>
      <c r="G186" s="100"/>
      <c r="H186" s="100"/>
      <c r="I186" s="90"/>
    </row>
    <row r="187" spans="1:9" hidden="1" x14ac:dyDescent="0.25">
      <c r="A187" s="90"/>
      <c r="B187" s="90"/>
      <c r="C187" s="90"/>
      <c r="D187" s="100"/>
      <c r="E187" s="100"/>
      <c r="F187" s="100"/>
      <c r="G187" s="100"/>
      <c r="H187" s="100"/>
      <c r="I187" s="90"/>
    </row>
    <row r="188" spans="1:9" hidden="1" x14ac:dyDescent="0.25">
      <c r="A188" s="175" t="s">
        <v>114</v>
      </c>
      <c r="B188" s="90"/>
      <c r="C188" s="177">
        <v>1.3</v>
      </c>
      <c r="D188" s="100"/>
      <c r="E188" s="100"/>
      <c r="F188" s="100"/>
      <c r="G188" s="100"/>
      <c r="H188" s="100"/>
      <c r="I188" s="90"/>
    </row>
    <row r="189" spans="1:9" hidden="1" x14ac:dyDescent="0.25">
      <c r="A189" s="90"/>
      <c r="B189" s="90"/>
      <c r="C189" s="179"/>
      <c r="D189" s="100"/>
      <c r="E189" s="100"/>
      <c r="F189" s="100"/>
      <c r="G189" s="100"/>
      <c r="H189" s="100"/>
      <c r="I189" s="90"/>
    </row>
    <row r="190" spans="1:9" hidden="1" x14ac:dyDescent="0.25">
      <c r="A190" s="176" t="s">
        <v>123</v>
      </c>
      <c r="B190" s="176"/>
      <c r="C190" s="177">
        <v>0.1</v>
      </c>
      <c r="D190" s="100"/>
      <c r="E190" s="180">
        <v>1.5</v>
      </c>
      <c r="F190" s="100"/>
      <c r="G190" s="100"/>
      <c r="H190" s="100"/>
      <c r="I190" s="90"/>
    </row>
    <row r="191" spans="1:9" hidden="1" x14ac:dyDescent="0.25">
      <c r="A191" s="176"/>
      <c r="B191" s="176"/>
      <c r="C191" s="179"/>
      <c r="D191" s="100"/>
      <c r="E191" s="100"/>
      <c r="F191" s="100"/>
      <c r="G191" s="100"/>
      <c r="H191" s="100"/>
      <c r="I191" s="90"/>
    </row>
    <row r="192" spans="1:9" hidden="1" x14ac:dyDescent="0.25">
      <c r="A192" s="176"/>
      <c r="B192" s="176"/>
      <c r="C192" s="181"/>
      <c r="D192" s="100"/>
      <c r="E192" s="100"/>
      <c r="F192" s="100"/>
      <c r="G192" s="182"/>
      <c r="H192" s="100"/>
      <c r="I192" s="90"/>
    </row>
    <row r="193" spans="1:10" hidden="1" x14ac:dyDescent="0.25">
      <c r="A193" s="176"/>
      <c r="B193" s="176"/>
      <c r="C193" s="176"/>
      <c r="D193" s="100"/>
      <c r="E193" s="100"/>
      <c r="F193" s="100"/>
      <c r="G193" s="100"/>
      <c r="H193" s="100"/>
      <c r="I193" s="90"/>
    </row>
    <row r="194" spans="1:10" hidden="1" x14ac:dyDescent="0.25">
      <c r="A194" s="175"/>
      <c r="B194" s="176"/>
      <c r="C194" s="183"/>
      <c r="D194" s="100"/>
      <c r="E194" s="100"/>
      <c r="F194" s="100"/>
      <c r="G194" s="100"/>
      <c r="H194" s="100"/>
      <c r="I194" s="90"/>
    </row>
    <row r="195" spans="1:10" hidden="1" x14ac:dyDescent="0.25">
      <c r="A195" s="90"/>
      <c r="B195" s="90"/>
      <c r="C195" s="179"/>
      <c r="D195" s="100"/>
      <c r="E195" s="100"/>
      <c r="F195" s="100"/>
      <c r="G195" s="100"/>
      <c r="H195" s="176" t="s">
        <v>124</v>
      </c>
      <c r="I195" s="184">
        <v>0.15</v>
      </c>
    </row>
    <row r="196" spans="1:10" hidden="1" x14ac:dyDescent="0.25">
      <c r="A196" s="90"/>
      <c r="B196" s="90"/>
      <c r="C196" s="100"/>
      <c r="D196" s="100"/>
      <c r="E196" s="179">
        <f>+E190+2*C190+2*0.075</f>
        <v>1.8499999999999999</v>
      </c>
      <c r="F196" s="100"/>
      <c r="G196" s="100"/>
      <c r="H196" s="176" t="s">
        <v>125</v>
      </c>
      <c r="I196" s="184">
        <v>0.1</v>
      </c>
    </row>
    <row r="197" spans="1:10" hidden="1" x14ac:dyDescent="0.25">
      <c r="A197" s="90"/>
      <c r="B197" s="90"/>
      <c r="C197" s="90"/>
      <c r="D197" s="90"/>
      <c r="E197" s="90"/>
      <c r="F197" s="90"/>
      <c r="G197" s="90"/>
      <c r="H197" s="90"/>
      <c r="I197" s="90"/>
    </row>
    <row r="198" spans="1:10" hidden="1" x14ac:dyDescent="0.25">
      <c r="A198" s="90"/>
      <c r="B198" s="90"/>
      <c r="C198" s="90"/>
      <c r="D198" s="127" t="s">
        <v>126</v>
      </c>
      <c r="E198" s="90"/>
      <c r="F198" s="128"/>
      <c r="G198" s="100"/>
      <c r="H198" s="90"/>
      <c r="I198" s="90"/>
    </row>
    <row r="199" spans="1:10" hidden="1" x14ac:dyDescent="0.25">
      <c r="A199" s="90"/>
      <c r="B199" s="90"/>
      <c r="C199" s="90"/>
      <c r="D199" s="90"/>
      <c r="E199" s="90"/>
      <c r="F199" s="90"/>
      <c r="G199" s="90"/>
      <c r="H199" s="90"/>
      <c r="I199" s="90"/>
    </row>
    <row r="200" spans="1:10" hidden="1" x14ac:dyDescent="0.25">
      <c r="A200" s="90" t="s">
        <v>127</v>
      </c>
      <c r="B200" s="90"/>
      <c r="C200" s="90"/>
      <c r="D200" s="147" t="s">
        <v>128</v>
      </c>
      <c r="E200" s="90"/>
      <c r="F200" s="90"/>
      <c r="G200" s="90"/>
      <c r="H200" s="90"/>
      <c r="I200" s="90"/>
    </row>
    <row r="201" spans="1:10" hidden="1" x14ac:dyDescent="0.25">
      <c r="A201" s="90" t="s">
        <v>129</v>
      </c>
      <c r="B201" s="90"/>
      <c r="C201" s="90"/>
      <c r="D201" s="90" t="s">
        <v>130</v>
      </c>
      <c r="E201" s="90"/>
      <c r="F201" s="90"/>
      <c r="G201" s="90"/>
      <c r="H201" s="90"/>
      <c r="I201" s="90"/>
    </row>
    <row r="202" spans="1:10" hidden="1" x14ac:dyDescent="0.25">
      <c r="A202" s="147" t="s">
        <v>131</v>
      </c>
      <c r="B202" s="90"/>
      <c r="C202" s="90"/>
      <c r="D202" s="90"/>
      <c r="E202" s="90"/>
      <c r="F202" s="90"/>
      <c r="G202" s="90"/>
      <c r="H202" s="90"/>
      <c r="I202" s="90"/>
    </row>
    <row r="203" spans="1:10" hidden="1" x14ac:dyDescent="0.25">
      <c r="A203" s="147" t="s">
        <v>132</v>
      </c>
      <c r="B203" s="90"/>
      <c r="C203" s="90"/>
      <c r="D203" s="90"/>
      <c r="E203" s="90"/>
      <c r="F203" s="90"/>
      <c r="G203" s="90"/>
      <c r="H203" s="90"/>
      <c r="I203" s="90"/>
    </row>
    <row r="204" spans="1:10" hidden="1" x14ac:dyDescent="0.25">
      <c r="A204" s="90"/>
      <c r="B204" s="90"/>
      <c r="C204" s="90"/>
      <c r="D204" s="90"/>
      <c r="E204" s="90"/>
      <c r="F204" s="90"/>
      <c r="G204" s="90"/>
      <c r="H204" s="90"/>
      <c r="I204" s="90"/>
    </row>
    <row r="205" spans="1:10" hidden="1" x14ac:dyDescent="0.25">
      <c r="A205" s="90"/>
      <c r="B205" s="90"/>
      <c r="C205" s="90"/>
      <c r="D205" s="90"/>
      <c r="E205" s="90"/>
      <c r="F205" s="90"/>
      <c r="G205" s="90"/>
      <c r="H205" s="90"/>
      <c r="I205" s="90"/>
    </row>
    <row r="206" spans="1:10" hidden="1" x14ac:dyDescent="0.25">
      <c r="A206" s="90"/>
      <c r="B206" s="90"/>
      <c r="C206" s="90"/>
      <c r="D206" s="90"/>
      <c r="E206" s="90"/>
      <c r="F206" s="90"/>
      <c r="G206" s="90"/>
      <c r="H206" s="90"/>
      <c r="I206" s="90"/>
      <c r="J206" s="90"/>
    </row>
    <row r="207" spans="1:10" x14ac:dyDescent="0.25">
      <c r="A207" s="135" t="s">
        <v>133</v>
      </c>
      <c r="B207" s="185"/>
      <c r="C207" s="185"/>
      <c r="D207" s="185"/>
      <c r="E207" s="185"/>
      <c r="F207" s="185"/>
      <c r="G207" s="185"/>
      <c r="H207" s="185"/>
      <c r="I207" s="185"/>
      <c r="J207" s="90"/>
    </row>
    <row r="208" spans="1:10" x14ac:dyDescent="0.25">
      <c r="A208" s="135"/>
      <c r="B208" s="185"/>
      <c r="C208" s="168"/>
      <c r="D208" s="135"/>
      <c r="E208" s="168"/>
      <c r="F208" s="135"/>
      <c r="G208" s="135"/>
      <c r="H208" s="135"/>
      <c r="I208" s="185"/>
      <c r="J208" s="90"/>
    </row>
    <row r="209" spans="1:10" x14ac:dyDescent="0.25">
      <c r="A209" s="186" t="s">
        <v>134</v>
      </c>
      <c r="B209" s="90"/>
      <c r="C209" s="90"/>
      <c r="D209" s="90"/>
      <c r="E209" s="90"/>
      <c r="F209" s="187"/>
      <c r="G209" s="188">
        <f>+E190</f>
        <v>1.5</v>
      </c>
      <c r="H209" s="189" t="s">
        <v>135</v>
      </c>
      <c r="I209" s="140" t="str">
        <f>+LOOKUP(G209,RAM!$G$124:$G$127,RAM!$H$124:$H$127)</f>
        <v>450-600 mm</v>
      </c>
      <c r="J209" s="90"/>
    </row>
    <row r="210" spans="1:10" x14ac:dyDescent="0.25">
      <c r="A210" s="110"/>
      <c r="F210" s="137"/>
      <c r="G210" s="110"/>
      <c r="H210" s="97"/>
      <c r="J210" s="90"/>
    </row>
    <row r="211" spans="1:10" x14ac:dyDescent="0.25">
      <c r="A211" s="141"/>
      <c r="B211" s="141"/>
      <c r="C211" s="141"/>
      <c r="D211" s="141"/>
      <c r="E211" s="141"/>
      <c r="F211" s="141"/>
      <c r="G211" s="141"/>
      <c r="H211" s="142" t="s">
        <v>136</v>
      </c>
      <c r="I211" s="143">
        <f>+I234</f>
        <v>34550</v>
      </c>
      <c r="J211" s="90"/>
    </row>
    <row r="212" spans="1:10" x14ac:dyDescent="0.25">
      <c r="A212" s="144" t="s">
        <v>137</v>
      </c>
      <c r="B212" s="2096" t="s">
        <v>138</v>
      </c>
      <c r="C212" s="2096"/>
      <c r="D212" s="2096"/>
      <c r="E212" s="2096"/>
      <c r="F212" s="2095"/>
      <c r="G212" s="2095" t="s">
        <v>139</v>
      </c>
      <c r="H212" s="145" t="s">
        <v>140</v>
      </c>
      <c r="I212" s="145" t="s">
        <v>141</v>
      </c>
      <c r="J212" s="90"/>
    </row>
    <row r="213" spans="1:10" ht="29.25" customHeight="1" x14ac:dyDescent="0.25">
      <c r="A213" s="146">
        <v>1</v>
      </c>
      <c r="B213" s="2094" t="s">
        <v>142</v>
      </c>
      <c r="C213" s="2093"/>
      <c r="D213" s="2093"/>
      <c r="E213" s="2093"/>
      <c r="F213" s="90"/>
      <c r="G213" s="90"/>
      <c r="H213" s="90"/>
      <c r="I213" s="90"/>
      <c r="J213" s="90"/>
    </row>
    <row r="214" spans="1:10" x14ac:dyDescent="0.25">
      <c r="A214" s="90"/>
      <c r="B214" s="147"/>
      <c r="C214" s="90"/>
      <c r="D214" s="148" t="s">
        <v>143</v>
      </c>
      <c r="E214" s="149">
        <f>+E196</f>
        <v>1.8499999999999999</v>
      </c>
      <c r="F214" s="149">
        <f>+E214</f>
        <v>1.8499999999999999</v>
      </c>
      <c r="G214" s="149">
        <f>+(22/28)*F214*E214*1.55</f>
        <v>4.168116071428571</v>
      </c>
      <c r="H214" s="150">
        <f>Data!$I$12</f>
        <v>158.80000000000001</v>
      </c>
      <c r="I214" s="151">
        <f>+ROUND((H214*G214),0)</f>
        <v>662</v>
      </c>
      <c r="J214" s="90"/>
    </row>
    <row r="215" spans="1:10" ht="52.5" customHeight="1" x14ac:dyDescent="0.25">
      <c r="A215" s="146">
        <v>2</v>
      </c>
      <c r="B215" s="2094" t="s">
        <v>144</v>
      </c>
      <c r="C215" s="2093"/>
      <c r="D215" s="2093"/>
      <c r="E215" s="2093"/>
      <c r="H215" s="90"/>
      <c r="I215" s="90"/>
      <c r="J215" s="90"/>
    </row>
    <row r="216" spans="1:10" x14ac:dyDescent="0.25">
      <c r="A216" s="90"/>
      <c r="B216" s="90"/>
      <c r="C216" s="90"/>
      <c r="D216" s="148" t="s">
        <v>143</v>
      </c>
      <c r="E216" s="149">
        <f>+E196</f>
        <v>1.8499999999999999</v>
      </c>
      <c r="F216" s="149">
        <f>I195</f>
        <v>0.15</v>
      </c>
      <c r="G216" s="149">
        <f>+(22/28)*E216*E216*F216</f>
        <v>0.40336607142857134</v>
      </c>
      <c r="H216" s="150">
        <f>Data!$I$690</f>
        <v>4503.5</v>
      </c>
      <c r="I216" s="151">
        <f>+ROUND((H216*G216),0)</f>
        <v>1817</v>
      </c>
      <c r="J216" s="90"/>
    </row>
    <row r="217" spans="1:10" ht="61.5" customHeight="1" x14ac:dyDescent="0.25">
      <c r="A217" s="146">
        <v>3</v>
      </c>
      <c r="B217" s="2094" t="s">
        <v>145</v>
      </c>
      <c r="C217" s="2093"/>
      <c r="D217" s="2093"/>
      <c r="E217" s="2093"/>
      <c r="F217" s="90"/>
      <c r="G217" s="90"/>
      <c r="H217" s="90"/>
      <c r="I217" s="152"/>
      <c r="J217" s="90"/>
    </row>
    <row r="218" spans="1:10" x14ac:dyDescent="0.25">
      <c r="A218" s="90"/>
      <c r="B218" s="147"/>
      <c r="C218" s="90"/>
      <c r="D218" s="148" t="s">
        <v>143</v>
      </c>
      <c r="E218" s="149">
        <f>+E196</f>
        <v>1.8499999999999999</v>
      </c>
      <c r="F218" s="149">
        <f>I196</f>
        <v>0.1</v>
      </c>
      <c r="G218" s="149">
        <f>+(22/28)*E218*E218*F218</f>
        <v>0.26891071428571428</v>
      </c>
      <c r="H218" s="150">
        <f>Data!$I$30</f>
        <v>937.7</v>
      </c>
      <c r="I218" s="151">
        <f>+ROUND((H218*G218),0)</f>
        <v>252</v>
      </c>
      <c r="J218" s="90"/>
    </row>
    <row r="219" spans="1:10" ht="53.25" customHeight="1" x14ac:dyDescent="0.25">
      <c r="A219" s="146">
        <v>4</v>
      </c>
      <c r="B219" s="2092" t="s">
        <v>157</v>
      </c>
      <c r="C219" s="2093"/>
      <c r="D219" s="2093"/>
      <c r="E219" s="2093"/>
      <c r="H219" s="90"/>
      <c r="I219" s="90"/>
      <c r="J219" s="90"/>
    </row>
    <row r="220" spans="1:10" x14ac:dyDescent="0.25">
      <c r="A220" s="90"/>
      <c r="B220" s="90"/>
      <c r="C220" s="90"/>
      <c r="D220" s="153" t="s">
        <v>147</v>
      </c>
      <c r="E220" s="149">
        <f>+E190+C190</f>
        <v>1.6</v>
      </c>
      <c r="F220" s="149">
        <f>+C188</f>
        <v>1.3</v>
      </c>
      <c r="G220" s="149">
        <f>+(22/7)*E220*C190*(C188)</f>
        <v>0.6537142857142858</v>
      </c>
      <c r="H220" s="149">
        <f>Data!$I$699</f>
        <v>21438.1</v>
      </c>
      <c r="I220" s="151">
        <f>+ROUND((H220*G220),0)</f>
        <v>14014</v>
      </c>
      <c r="J220" s="90"/>
    </row>
    <row r="221" spans="1:10" ht="62.25" customHeight="1" x14ac:dyDescent="0.25">
      <c r="A221" s="146">
        <v>5</v>
      </c>
      <c r="B221" s="2092" t="s">
        <v>148</v>
      </c>
      <c r="C221" s="2093"/>
      <c r="D221" s="2093"/>
      <c r="E221" s="2093"/>
      <c r="F221" s="90"/>
      <c r="G221" s="90"/>
      <c r="H221" s="90"/>
      <c r="I221" s="152"/>
      <c r="J221" s="90"/>
    </row>
    <row r="222" spans="1:10" x14ac:dyDescent="0.25">
      <c r="A222" s="90"/>
      <c r="B222" s="155" t="s">
        <v>149</v>
      </c>
      <c r="C222" s="90"/>
      <c r="D222" s="148" t="s">
        <v>143</v>
      </c>
      <c r="E222" s="149">
        <f>+E182</f>
        <v>1.8499999999999999</v>
      </c>
      <c r="F222" s="149">
        <f>+E182</f>
        <v>1.8499999999999999</v>
      </c>
      <c r="G222" s="149">
        <f>+(22/28)*E222*F222</f>
        <v>2.6891071428571425</v>
      </c>
      <c r="H222" s="155"/>
      <c r="I222" s="151"/>
      <c r="J222" s="90"/>
    </row>
    <row r="223" spans="1:10" x14ac:dyDescent="0.25">
      <c r="A223" s="90"/>
      <c r="B223" s="156" t="s">
        <v>150</v>
      </c>
      <c r="C223" s="90"/>
      <c r="D223" s="148" t="s">
        <v>143</v>
      </c>
      <c r="E223" s="149">
        <v>0.23</v>
      </c>
      <c r="F223" s="149">
        <v>0.23</v>
      </c>
      <c r="G223" s="149">
        <f>+(22/28)*E223*F223</f>
        <v>4.1564285714285713E-2</v>
      </c>
      <c r="H223" s="149"/>
      <c r="I223" s="151"/>
      <c r="J223" s="90"/>
    </row>
    <row r="224" spans="1:10" x14ac:dyDescent="0.25">
      <c r="A224" s="90"/>
      <c r="B224" s="147"/>
      <c r="C224" s="90"/>
      <c r="D224" s="90"/>
      <c r="E224" s="149"/>
      <c r="F224" s="157" t="s">
        <v>23</v>
      </c>
      <c r="G224" s="158">
        <f>+G222-G223</f>
        <v>2.6475428571428568</v>
      </c>
      <c r="H224" s="149">
        <f>Data!$I$725</f>
        <v>7284.3</v>
      </c>
      <c r="I224" s="151">
        <f>+ROUND((H224*G224*0.1),0)</f>
        <v>1929</v>
      </c>
      <c r="J224" s="90"/>
    </row>
    <row r="225" spans="1:10" ht="45.75" customHeight="1" x14ac:dyDescent="0.25">
      <c r="A225" s="146">
        <v>6</v>
      </c>
      <c r="B225" s="2094" t="s">
        <v>151</v>
      </c>
      <c r="C225" s="2093"/>
      <c r="D225" s="2093"/>
      <c r="E225" s="2093"/>
      <c r="F225" s="155"/>
      <c r="G225" s="155"/>
      <c r="H225" s="90"/>
      <c r="I225" s="152"/>
      <c r="J225" s="90"/>
    </row>
    <row r="226" spans="1:10" x14ac:dyDescent="0.25">
      <c r="A226" s="147"/>
      <c r="B226" s="155" t="s">
        <v>152</v>
      </c>
      <c r="C226" s="90"/>
      <c r="D226" s="153" t="s">
        <v>147</v>
      </c>
      <c r="E226" s="149">
        <f>+(E190)</f>
        <v>1.5</v>
      </c>
      <c r="F226" s="149">
        <f>+C188</f>
        <v>1.3</v>
      </c>
      <c r="G226" s="149">
        <f>+(3.14285714285714)*E226*F226</f>
        <v>6.1285714285714228</v>
      </c>
      <c r="H226" s="155"/>
      <c r="I226" s="151"/>
      <c r="J226" s="90"/>
    </row>
    <row r="227" spans="1:10" x14ac:dyDescent="0.25">
      <c r="A227" s="90"/>
      <c r="B227" s="155" t="s">
        <v>153</v>
      </c>
      <c r="C227" s="90"/>
      <c r="D227" s="148" t="s">
        <v>143</v>
      </c>
      <c r="E227" s="149">
        <f>+E226</f>
        <v>1.5</v>
      </c>
      <c r="F227" s="149">
        <f>+E227</f>
        <v>1.5</v>
      </c>
      <c r="G227" s="149">
        <f>+(0.785714285714286)*E227*F227</f>
        <v>1.7678571428571437</v>
      </c>
      <c r="H227" s="149"/>
      <c r="I227" s="151"/>
      <c r="J227" s="90"/>
    </row>
    <row r="228" spans="1:10" x14ac:dyDescent="0.25">
      <c r="A228" s="90"/>
      <c r="B228" s="155" t="s">
        <v>154</v>
      </c>
      <c r="C228" s="90"/>
      <c r="D228" s="148" t="s">
        <v>143</v>
      </c>
      <c r="E228" s="149">
        <f>+E182</f>
        <v>1.8499999999999999</v>
      </c>
      <c r="F228" s="149">
        <f>+E228</f>
        <v>1.8499999999999999</v>
      </c>
      <c r="G228" s="149">
        <f>+(0.785714285714286)*E228*F228</f>
        <v>2.6891071428571434</v>
      </c>
      <c r="H228" s="149"/>
      <c r="I228" s="151"/>
      <c r="J228" s="90"/>
    </row>
    <row r="229" spans="1:10" x14ac:dyDescent="0.25">
      <c r="A229" s="90"/>
      <c r="B229" s="155" t="s">
        <v>155</v>
      </c>
      <c r="C229" s="90"/>
      <c r="D229" s="148" t="s">
        <v>143</v>
      </c>
      <c r="E229" s="149">
        <v>0.23</v>
      </c>
      <c r="F229" s="149">
        <v>0.23</v>
      </c>
      <c r="G229" s="149">
        <f>+(0.785714285714286)*E229*F229</f>
        <v>4.1564285714285734E-2</v>
      </c>
      <c r="H229" s="149"/>
      <c r="I229" s="151"/>
      <c r="J229" s="90"/>
    </row>
    <row r="230" spans="1:10" x14ac:dyDescent="0.25">
      <c r="A230" s="90"/>
      <c r="B230" s="90"/>
      <c r="C230" s="90"/>
      <c r="D230" s="90"/>
      <c r="E230" s="149"/>
      <c r="F230" s="157" t="s">
        <v>23</v>
      </c>
      <c r="G230" s="149">
        <f>+G226+G227+G228-G229</f>
        <v>10.543971428571425</v>
      </c>
      <c r="H230" s="149">
        <f>Data!$I$670</f>
        <v>1491.9</v>
      </c>
      <c r="I230" s="151">
        <f>+ROUND((H230*G230*0.1),0)</f>
        <v>1573</v>
      </c>
      <c r="J230" s="90"/>
    </row>
    <row r="231" spans="1:10" ht="41.25" customHeight="1" x14ac:dyDescent="0.25">
      <c r="A231" s="146">
        <v>7</v>
      </c>
      <c r="B231" s="2092" t="s">
        <v>156</v>
      </c>
      <c r="C231" s="2093"/>
      <c r="D231" s="2093"/>
      <c r="E231" s="2093"/>
      <c r="F231" s="90"/>
      <c r="G231" s="90"/>
      <c r="H231" s="90"/>
      <c r="I231" s="152"/>
      <c r="J231" s="90"/>
    </row>
    <row r="232" spans="1:10" x14ac:dyDescent="0.25">
      <c r="A232" s="90"/>
      <c r="B232" s="90"/>
      <c r="C232" s="90"/>
      <c r="D232" s="90"/>
      <c r="E232" s="90"/>
      <c r="F232" s="90"/>
      <c r="G232" s="160">
        <f>+(G220+G224*0.1)*0.05</f>
        <v>4.5923428571428573E-2</v>
      </c>
      <c r="H232" s="149">
        <f>Data!$H$327</f>
        <v>60670.400000000001</v>
      </c>
      <c r="I232" s="151">
        <f>+ROUND((H232*G232),0)</f>
        <v>2786</v>
      </c>
      <c r="J232" s="90"/>
    </row>
    <row r="233" spans="1:10" x14ac:dyDescent="0.25">
      <c r="A233" s="155"/>
      <c r="B233" s="155"/>
      <c r="C233" s="155"/>
      <c r="D233" s="155"/>
      <c r="E233" s="155"/>
      <c r="F233" s="155"/>
      <c r="G233" s="155"/>
      <c r="H233" s="161" t="s">
        <v>23</v>
      </c>
      <c r="I233" s="151">
        <f>SUM(I214:I232)</f>
        <v>23033</v>
      </c>
      <c r="J233" s="90"/>
    </row>
    <row r="234" spans="1:10" x14ac:dyDescent="0.25">
      <c r="A234" s="155"/>
      <c r="B234" s="162" t="s">
        <v>1961</v>
      </c>
      <c r="C234" s="163"/>
      <c r="D234" s="163"/>
      <c r="E234" s="164"/>
      <c r="F234" s="155"/>
      <c r="G234" s="155"/>
      <c r="H234" s="155"/>
      <c r="I234" s="165">
        <f>+ROUND(I233+I233*$E$5,0)</f>
        <v>34550</v>
      </c>
      <c r="J234" s="90"/>
    </row>
    <row r="235" spans="1:10" x14ac:dyDescent="0.25">
      <c r="A235" s="90"/>
      <c r="B235" s="166"/>
      <c r="C235" s="90"/>
      <c r="D235" s="147"/>
      <c r="J235" s="90"/>
    </row>
    <row r="236" spans="1:10" x14ac:dyDescent="0.25">
      <c r="A236" s="90"/>
      <c r="B236" s="166"/>
      <c r="C236" s="90"/>
      <c r="D236" s="147"/>
      <c r="J236" s="90"/>
    </row>
    <row r="237" spans="1:10" x14ac:dyDescent="0.25">
      <c r="A237" s="90"/>
      <c r="B237" s="90"/>
      <c r="C237" s="90"/>
      <c r="D237" s="90"/>
      <c r="E237" s="90"/>
      <c r="F237" s="90"/>
      <c r="G237" s="90"/>
      <c r="H237" s="90"/>
      <c r="I237" s="152"/>
      <c r="J237" s="90"/>
    </row>
    <row r="238" spans="1:10" x14ac:dyDescent="0.25">
      <c r="A238" s="147"/>
      <c r="B238" s="147"/>
      <c r="C238" s="90"/>
      <c r="D238" s="90"/>
      <c r="E238" s="90"/>
      <c r="F238" s="90"/>
      <c r="G238" s="90"/>
      <c r="H238" s="90"/>
      <c r="I238" s="152"/>
      <c r="J238" s="90"/>
    </row>
    <row r="239" spans="1:10" x14ac:dyDescent="0.25">
      <c r="A239" s="90"/>
      <c r="B239" s="170"/>
      <c r="C239" s="90"/>
      <c r="D239" s="90"/>
      <c r="J239" s="90"/>
    </row>
    <row r="240" spans="1:10" x14ac:dyDescent="0.25">
      <c r="A240" s="90"/>
      <c r="B240" s="159"/>
      <c r="C240" s="90"/>
      <c r="D240" s="147"/>
      <c r="J240" s="90"/>
    </row>
    <row r="241" spans="1:10" x14ac:dyDescent="0.25">
      <c r="A241" s="90"/>
      <c r="B241" s="159"/>
      <c r="C241" s="90"/>
      <c r="D241" s="147"/>
      <c r="J241" s="90"/>
    </row>
    <row r="242" spans="1:10" x14ac:dyDescent="0.25">
      <c r="A242" s="90"/>
      <c r="B242" s="159"/>
      <c r="C242" s="90"/>
      <c r="D242" s="147"/>
      <c r="J242" s="90"/>
    </row>
    <row r="243" spans="1:10" x14ac:dyDescent="0.25">
      <c r="A243" s="90"/>
      <c r="B243" s="159"/>
      <c r="C243" s="90"/>
      <c r="D243" s="147"/>
      <c r="J243" s="90"/>
    </row>
    <row r="244" spans="1:10" x14ac:dyDescent="0.25">
      <c r="A244" s="90"/>
      <c r="B244" s="90"/>
      <c r="C244" s="90"/>
      <c r="D244" s="90"/>
      <c r="E244" s="90"/>
      <c r="F244" s="192"/>
      <c r="G244" s="150"/>
      <c r="H244" s="150"/>
      <c r="I244" s="152"/>
      <c r="J244" s="90"/>
    </row>
    <row r="245" spans="1:10" x14ac:dyDescent="0.25">
      <c r="A245" s="147"/>
      <c r="B245" s="147"/>
      <c r="C245" s="90"/>
      <c r="D245" s="90"/>
      <c r="E245" s="90"/>
      <c r="F245" s="90"/>
      <c r="G245" s="90"/>
      <c r="H245" s="90"/>
      <c r="I245" s="152"/>
      <c r="J245" s="90"/>
    </row>
    <row r="246" spans="1:10" x14ac:dyDescent="0.25">
      <c r="A246" s="90"/>
      <c r="B246" s="90"/>
      <c r="C246" s="90"/>
      <c r="D246" s="90"/>
      <c r="E246" s="90"/>
      <c r="F246" s="90"/>
      <c r="J246" s="90"/>
    </row>
    <row r="247" spans="1:10" x14ac:dyDescent="0.25">
      <c r="A247" s="90"/>
      <c r="B247" s="90"/>
      <c r="C247" s="90"/>
      <c r="D247" s="90"/>
      <c r="E247" s="90"/>
      <c r="F247" s="90"/>
      <c r="G247" s="90"/>
      <c r="H247" s="90"/>
      <c r="I247" s="152"/>
      <c r="J247" s="90"/>
    </row>
    <row r="248" spans="1:10" x14ac:dyDescent="0.25">
      <c r="A248" s="90"/>
      <c r="B248" s="90"/>
      <c r="C248" s="90"/>
      <c r="D248" s="90"/>
      <c r="E248" s="90"/>
      <c r="F248" s="90"/>
      <c r="G248" s="90"/>
      <c r="H248" s="100"/>
      <c r="J248" s="90"/>
    </row>
    <row r="249" spans="1:10" x14ac:dyDescent="0.25">
      <c r="A249" s="90"/>
      <c r="B249" s="90"/>
      <c r="C249" s="90"/>
      <c r="D249" s="90"/>
      <c r="E249" s="90"/>
      <c r="F249" s="90"/>
      <c r="G249" s="90"/>
      <c r="H249" s="90"/>
      <c r="J249" s="90"/>
    </row>
    <row r="250" spans="1:10" x14ac:dyDescent="0.25">
      <c r="A250" s="90"/>
      <c r="B250" s="90"/>
      <c r="C250" s="90"/>
      <c r="D250" s="90"/>
      <c r="E250" s="90"/>
      <c r="F250" s="90"/>
      <c r="G250" s="90"/>
      <c r="H250" s="90"/>
      <c r="I250" s="90"/>
      <c r="J250" s="90"/>
    </row>
    <row r="251" spans="1:10" x14ac:dyDescent="0.25">
      <c r="A251" s="90"/>
      <c r="B251" s="90"/>
      <c r="C251" s="90"/>
      <c r="D251" s="90"/>
      <c r="E251" s="90"/>
      <c r="F251" s="90"/>
      <c r="G251" s="90"/>
      <c r="H251" s="90"/>
      <c r="I251" s="90"/>
      <c r="J251" s="90"/>
    </row>
  </sheetData>
  <mergeCells count="37">
    <mergeCell ref="F99:G99"/>
    <mergeCell ref="A10:I10"/>
    <mergeCell ref="B45:E45"/>
    <mergeCell ref="F45:G45"/>
    <mergeCell ref="B46:E46"/>
    <mergeCell ref="B48:E48"/>
    <mergeCell ref="B50:E50"/>
    <mergeCell ref="B112:E112"/>
    <mergeCell ref="B52:E52"/>
    <mergeCell ref="B54:E54"/>
    <mergeCell ref="B58:E58"/>
    <mergeCell ref="B64:E64"/>
    <mergeCell ref="B99:E99"/>
    <mergeCell ref="B100:E100"/>
    <mergeCell ref="B102:E102"/>
    <mergeCell ref="B104:E104"/>
    <mergeCell ref="B106:E106"/>
    <mergeCell ref="B108:E108"/>
    <mergeCell ref="F212:G212"/>
    <mergeCell ref="B118:E118"/>
    <mergeCell ref="B158:E158"/>
    <mergeCell ref="F158:G158"/>
    <mergeCell ref="B159:E159"/>
    <mergeCell ref="B161:E161"/>
    <mergeCell ref="B163:E163"/>
    <mergeCell ref="B165:E165"/>
    <mergeCell ref="B167:E167"/>
    <mergeCell ref="B171:E171"/>
    <mergeCell ref="B177:E177"/>
    <mergeCell ref="B212:E212"/>
    <mergeCell ref="B231:E231"/>
    <mergeCell ref="B213:E213"/>
    <mergeCell ref="B215:E215"/>
    <mergeCell ref="B217:E217"/>
    <mergeCell ref="B219:E219"/>
    <mergeCell ref="B221:E221"/>
    <mergeCell ref="B225:E225"/>
  </mergeCells>
  <pageMargins left="0.7" right="0.7" top="0.75" bottom="0.75" header="0.3" footer="0.3"/>
  <pageSetup scale="92" orientation="portrait" verticalDpi="0" r:id="rId1"/>
  <rowBreaks count="4" manualBreakCount="4">
    <brk id="8" max="16383" man="1"/>
    <brk id="67" max="16383" man="1"/>
    <brk id="121" max="16383" man="1"/>
    <brk id="18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1"/>
  <sheetViews>
    <sheetView topLeftCell="A79" workbookViewId="0">
      <selection activeCell="H83" sqref="H83"/>
    </sheetView>
  </sheetViews>
  <sheetFormatPr defaultRowHeight="15" x14ac:dyDescent="0.25"/>
  <cols>
    <col min="9" max="9" width="11" customWidth="1"/>
  </cols>
  <sheetData>
    <row r="1" spans="1:20" x14ac:dyDescent="0.25">
      <c r="G1" s="79"/>
      <c r="H1" s="306" t="s">
        <v>113</v>
      </c>
      <c r="I1" s="81"/>
    </row>
    <row r="2" spans="1:20" x14ac:dyDescent="0.25">
      <c r="G2" s="307" t="s">
        <v>261</v>
      </c>
      <c r="H2" s="83"/>
      <c r="I2" s="84">
        <v>3</v>
      </c>
    </row>
    <row r="3" spans="1:20" x14ac:dyDescent="0.25">
      <c r="G3" s="82" t="s">
        <v>262</v>
      </c>
      <c r="H3" s="83"/>
      <c r="I3" s="84">
        <v>0.6</v>
      </c>
    </row>
    <row r="4" spans="1:20" x14ac:dyDescent="0.25">
      <c r="G4" s="82" t="s">
        <v>263</v>
      </c>
      <c r="H4" s="83"/>
      <c r="I4" s="84">
        <v>2</v>
      </c>
      <c r="J4" s="204" t="s">
        <v>135</v>
      </c>
      <c r="K4" s="204" t="s">
        <v>264</v>
      </c>
    </row>
    <row r="5" spans="1:20" x14ac:dyDescent="0.25">
      <c r="G5" s="307" t="s">
        <v>265</v>
      </c>
      <c r="H5" s="83"/>
      <c r="I5" s="308">
        <f>Design!G45</f>
        <v>3570</v>
      </c>
      <c r="J5" s="204">
        <v>300</v>
      </c>
      <c r="K5" s="204">
        <v>0</v>
      </c>
    </row>
    <row r="6" spans="1:20" x14ac:dyDescent="0.25">
      <c r="G6" s="309" t="s">
        <v>266</v>
      </c>
      <c r="H6" s="86"/>
      <c r="I6" s="310" t="s">
        <v>267</v>
      </c>
    </row>
    <row r="7" spans="1:20" x14ac:dyDescent="0.25">
      <c r="T7" s="113"/>
    </row>
    <row r="8" spans="1:20" x14ac:dyDescent="0.25">
      <c r="A8" s="129"/>
      <c r="B8" s="129"/>
      <c r="C8" s="139" t="str">
        <f>Design!B1</f>
        <v>CPWS SCHEME TO                                                                                                       DISTRICT</v>
      </c>
      <c r="D8" s="129"/>
      <c r="E8" s="129"/>
      <c r="F8" s="129"/>
      <c r="G8" s="129"/>
      <c r="H8" s="129"/>
      <c r="I8" s="129"/>
      <c r="T8" s="113"/>
    </row>
    <row r="9" spans="1:20" x14ac:dyDescent="0.25">
      <c r="A9" s="129"/>
      <c r="B9" s="129"/>
      <c r="C9" s="129"/>
      <c r="D9" s="129"/>
      <c r="E9" s="129"/>
      <c r="F9" s="129"/>
      <c r="G9" s="129"/>
      <c r="H9" s="129"/>
      <c r="I9" s="129"/>
      <c r="T9" s="113"/>
    </row>
    <row r="10" spans="1:20" ht="15.75" x14ac:dyDescent="0.25">
      <c r="A10" s="129"/>
      <c r="B10" s="311"/>
      <c r="C10" s="312"/>
      <c r="D10" s="313"/>
      <c r="E10" s="129"/>
      <c r="F10" s="314"/>
      <c r="G10" s="314"/>
      <c r="H10" s="129"/>
      <c r="I10" s="129"/>
      <c r="T10" s="113"/>
    </row>
    <row r="11" spans="1:20" x14ac:dyDescent="0.25">
      <c r="A11" s="129"/>
      <c r="B11" s="129"/>
      <c r="C11" s="129"/>
      <c r="D11" s="129"/>
      <c r="E11" s="129"/>
      <c r="F11" s="129"/>
      <c r="G11" s="129"/>
      <c r="H11" s="129"/>
      <c r="I11" s="129"/>
      <c r="T11" s="113"/>
    </row>
    <row r="12" spans="1:20" x14ac:dyDescent="0.25">
      <c r="A12" s="129"/>
      <c r="B12" s="129"/>
      <c r="C12" s="129"/>
      <c r="D12" s="129"/>
      <c r="E12" s="129"/>
      <c r="F12" s="129"/>
      <c r="G12" s="129"/>
      <c r="H12" s="129"/>
      <c r="I12" s="129"/>
      <c r="T12" s="113"/>
    </row>
    <row r="13" spans="1:20" x14ac:dyDescent="0.25">
      <c r="A13" s="315" t="s">
        <v>268</v>
      </c>
      <c r="B13" s="315"/>
      <c r="C13" s="316">
        <v>0.1</v>
      </c>
      <c r="D13" s="129"/>
      <c r="E13" s="129"/>
      <c r="F13" s="129"/>
      <c r="G13" s="155"/>
      <c r="H13" s="155"/>
      <c r="I13" s="155"/>
      <c r="T13" s="113"/>
    </row>
    <row r="14" spans="1:20" x14ac:dyDescent="0.25">
      <c r="A14" s="129"/>
      <c r="B14" s="129"/>
      <c r="C14" s="129"/>
      <c r="D14" s="129"/>
      <c r="E14" s="129"/>
      <c r="F14" s="129"/>
      <c r="G14" s="155"/>
      <c r="H14" s="155"/>
      <c r="I14" s="155"/>
      <c r="T14" s="113"/>
    </row>
    <row r="15" spans="1:20" x14ac:dyDescent="0.25">
      <c r="A15" s="317" t="s">
        <v>269</v>
      </c>
      <c r="B15" s="317"/>
      <c r="C15" s="318">
        <v>3.6</v>
      </c>
      <c r="D15" s="129"/>
      <c r="E15" s="129"/>
      <c r="F15" s="129"/>
      <c r="G15" s="155"/>
      <c r="H15" s="155"/>
      <c r="I15" s="155"/>
    </row>
    <row r="16" spans="1:20" x14ac:dyDescent="0.25">
      <c r="A16" s="129"/>
      <c r="B16" s="129"/>
      <c r="C16" s="129"/>
      <c r="D16" s="129"/>
      <c r="E16" s="129"/>
      <c r="F16" s="129"/>
      <c r="G16" s="155"/>
      <c r="H16" s="155"/>
      <c r="I16" s="155"/>
    </row>
    <row r="17" spans="1:13" x14ac:dyDescent="0.25">
      <c r="A17" s="319" t="s">
        <v>270</v>
      </c>
      <c r="B17" s="320"/>
      <c r="C17" s="321">
        <v>0.1</v>
      </c>
      <c r="D17" s="129"/>
      <c r="E17" s="129"/>
      <c r="F17" s="129"/>
      <c r="G17" s="129"/>
      <c r="H17" s="129"/>
      <c r="I17" s="129"/>
    </row>
    <row r="18" spans="1:13" x14ac:dyDescent="0.25">
      <c r="A18" s="129"/>
      <c r="B18" s="129"/>
      <c r="C18" s="129"/>
      <c r="D18" s="129"/>
      <c r="E18" s="129"/>
      <c r="F18" s="129"/>
      <c r="G18" s="129"/>
      <c r="H18" s="129"/>
      <c r="I18" s="129"/>
    </row>
    <row r="19" spans="1:13" x14ac:dyDescent="0.25">
      <c r="A19" s="129"/>
      <c r="B19" s="129"/>
      <c r="C19" s="129"/>
      <c r="D19" s="129"/>
      <c r="E19" s="129"/>
      <c r="F19" s="129"/>
      <c r="G19" s="129"/>
      <c r="H19" s="129"/>
      <c r="I19" s="129"/>
    </row>
    <row r="20" spans="1:13" x14ac:dyDescent="0.25">
      <c r="A20" s="129"/>
      <c r="B20" s="129"/>
      <c r="C20" s="129"/>
      <c r="D20" s="129"/>
      <c r="E20" s="129"/>
      <c r="F20" s="129"/>
      <c r="G20" s="129"/>
      <c r="H20" s="129"/>
      <c r="I20" s="129"/>
    </row>
    <row r="21" spans="1:13" x14ac:dyDescent="0.25">
      <c r="A21" s="130"/>
      <c r="B21" s="129"/>
      <c r="C21" s="322"/>
      <c r="D21" s="140"/>
      <c r="E21" s="323">
        <f>+(E29+2*C32+0.3)</f>
        <v>3.5999999999999996</v>
      </c>
      <c r="F21" s="140"/>
      <c r="G21" s="129"/>
      <c r="H21" s="129"/>
      <c r="I21" s="129"/>
    </row>
    <row r="22" spans="1:13" x14ac:dyDescent="0.25">
      <c r="A22" s="324" t="s">
        <v>271</v>
      </c>
      <c r="B22" s="129"/>
      <c r="C22" s="325">
        <v>0.15</v>
      </c>
      <c r="D22" s="140"/>
      <c r="E22" s="140"/>
      <c r="F22" s="140"/>
      <c r="G22" s="325"/>
      <c r="H22" s="326"/>
      <c r="I22" s="129"/>
    </row>
    <row r="23" spans="1:13" x14ac:dyDescent="0.25">
      <c r="A23" s="129"/>
      <c r="B23" s="129"/>
      <c r="C23" s="129"/>
      <c r="D23" s="327"/>
      <c r="E23" s="140"/>
      <c r="F23" s="140"/>
      <c r="G23" s="140"/>
      <c r="H23" s="140"/>
      <c r="I23" s="129"/>
      <c r="J23" s="154"/>
    </row>
    <row r="24" spans="1:13" x14ac:dyDescent="0.25">
      <c r="A24" s="129"/>
      <c r="B24" s="129"/>
      <c r="C24" s="140"/>
      <c r="D24" s="140"/>
      <c r="E24" s="140"/>
      <c r="F24" s="140"/>
      <c r="G24" s="140"/>
      <c r="H24" s="140"/>
      <c r="I24" s="129"/>
    </row>
    <row r="25" spans="1:13" x14ac:dyDescent="0.25">
      <c r="A25" s="129" t="s">
        <v>272</v>
      </c>
      <c r="B25" s="129"/>
      <c r="C25" s="328">
        <v>0.6</v>
      </c>
      <c r="D25" s="140"/>
      <c r="E25" s="140"/>
      <c r="F25" s="140"/>
      <c r="G25" s="140"/>
      <c r="H25" s="140"/>
      <c r="I25" s="129"/>
    </row>
    <row r="26" spans="1:13" x14ac:dyDescent="0.25">
      <c r="A26" s="129"/>
      <c r="B26" s="129"/>
      <c r="C26" s="140"/>
      <c r="D26" s="140"/>
      <c r="E26" s="140"/>
      <c r="F26" s="329"/>
      <c r="G26" s="140"/>
      <c r="H26" s="140"/>
      <c r="I26" s="129"/>
    </row>
    <row r="27" spans="1:13" x14ac:dyDescent="0.25">
      <c r="A27" s="129"/>
      <c r="B27" s="129"/>
      <c r="C27" s="140"/>
      <c r="D27" s="140"/>
      <c r="E27" s="140"/>
      <c r="F27" s="140"/>
      <c r="G27" s="140"/>
      <c r="H27" s="140"/>
      <c r="I27" s="129"/>
    </row>
    <row r="28" spans="1:13" x14ac:dyDescent="0.25">
      <c r="A28" s="129"/>
      <c r="B28" s="129"/>
      <c r="C28" s="140"/>
      <c r="D28" s="140"/>
      <c r="E28" s="140"/>
      <c r="F28" s="140"/>
      <c r="G28" s="140"/>
      <c r="H28" s="140"/>
      <c r="I28" s="129"/>
    </row>
    <row r="29" spans="1:13" x14ac:dyDescent="0.25">
      <c r="A29" s="330" t="s">
        <v>273</v>
      </c>
      <c r="B29" s="330"/>
      <c r="C29" s="328">
        <v>2</v>
      </c>
      <c r="D29" s="140"/>
      <c r="E29" s="323">
        <f>+I2</f>
        <v>3</v>
      </c>
      <c r="F29" s="140"/>
      <c r="G29" s="140"/>
      <c r="H29" s="140"/>
      <c r="I29" s="155"/>
      <c r="J29" s="90"/>
      <c r="K29" s="90"/>
      <c r="L29" s="90"/>
      <c r="M29" s="90"/>
    </row>
    <row r="30" spans="1:13" x14ac:dyDescent="0.25">
      <c r="A30" s="129"/>
      <c r="B30" s="129"/>
      <c r="C30" s="140"/>
      <c r="D30" s="140"/>
      <c r="E30" s="140"/>
      <c r="F30" s="140"/>
      <c r="G30" s="140"/>
      <c r="H30" s="140"/>
      <c r="I30" s="155"/>
      <c r="M30" s="90"/>
    </row>
    <row r="31" spans="1:13" x14ac:dyDescent="0.25">
      <c r="A31" s="129"/>
      <c r="B31" s="129"/>
      <c r="C31" s="140"/>
      <c r="D31" s="140"/>
      <c r="E31" s="140"/>
      <c r="F31" s="140"/>
      <c r="G31" s="140"/>
      <c r="H31" s="140"/>
      <c r="I31" s="155"/>
      <c r="M31" s="90"/>
    </row>
    <row r="32" spans="1:13" x14ac:dyDescent="0.25">
      <c r="A32" s="129" t="s">
        <v>274</v>
      </c>
      <c r="B32" s="129"/>
      <c r="C32" s="331">
        <v>0.15</v>
      </c>
      <c r="D32" s="140"/>
      <c r="E32" s="140"/>
      <c r="F32" s="140"/>
      <c r="G32" s="140"/>
      <c r="H32" s="140"/>
      <c r="I32" s="155"/>
      <c r="M32" s="90"/>
    </row>
    <row r="33" spans="1:13" x14ac:dyDescent="0.25">
      <c r="A33" s="129"/>
      <c r="B33" s="129"/>
      <c r="C33" s="140"/>
      <c r="D33" s="140"/>
      <c r="E33" s="140"/>
      <c r="F33" s="332">
        <v>0.75</v>
      </c>
      <c r="G33" s="140"/>
      <c r="H33" s="140"/>
      <c r="I33" s="155"/>
      <c r="M33" s="90"/>
    </row>
    <row r="34" spans="1:13" x14ac:dyDescent="0.25">
      <c r="A34" s="129"/>
      <c r="B34" s="129"/>
      <c r="C34" s="325" t="s">
        <v>122</v>
      </c>
      <c r="D34" s="140"/>
      <c r="E34" s="140"/>
      <c r="F34" s="140"/>
      <c r="G34" s="140"/>
      <c r="H34" s="140"/>
      <c r="I34" s="155"/>
      <c r="J34" s="90"/>
      <c r="K34" s="90"/>
      <c r="L34" s="90"/>
      <c r="M34" s="90"/>
    </row>
    <row r="35" spans="1:13" x14ac:dyDescent="0.25">
      <c r="A35" s="129"/>
      <c r="B35" s="129"/>
      <c r="C35" s="333">
        <v>0.3</v>
      </c>
      <c r="D35" s="325" t="s">
        <v>122</v>
      </c>
      <c r="E35" s="140"/>
      <c r="F35" s="140"/>
      <c r="G35" s="140"/>
      <c r="H35" s="140"/>
      <c r="I35" s="129"/>
    </row>
    <row r="36" spans="1:13" x14ac:dyDescent="0.25">
      <c r="A36" s="129"/>
      <c r="B36" s="129"/>
      <c r="C36" s="323"/>
      <c r="D36" s="140"/>
      <c r="E36" s="140"/>
      <c r="F36" s="140"/>
      <c r="G36" s="324" t="s">
        <v>275</v>
      </c>
      <c r="H36" s="323">
        <v>0.2</v>
      </c>
      <c r="I36" s="129"/>
    </row>
    <row r="37" spans="1:13" x14ac:dyDescent="0.25">
      <c r="A37" s="129"/>
      <c r="B37" s="129"/>
      <c r="C37" s="140"/>
      <c r="D37" s="2102">
        <f>+D55</f>
        <v>5.0999999999999996</v>
      </c>
      <c r="E37" s="2103"/>
      <c r="F37" s="140"/>
      <c r="G37" s="334" t="s">
        <v>124</v>
      </c>
      <c r="H37" s="323">
        <v>0.3</v>
      </c>
      <c r="I37" s="129"/>
    </row>
    <row r="38" spans="1:13" x14ac:dyDescent="0.25">
      <c r="A38" s="129"/>
      <c r="B38" s="129"/>
      <c r="C38" s="140"/>
      <c r="D38" s="140"/>
      <c r="E38" s="140"/>
      <c r="F38" s="329"/>
      <c r="G38" s="334" t="s">
        <v>276</v>
      </c>
      <c r="H38" s="323">
        <v>0.3</v>
      </c>
      <c r="I38" s="129"/>
    </row>
    <row r="39" spans="1:13" x14ac:dyDescent="0.25">
      <c r="A39" s="129"/>
      <c r="B39" s="129"/>
      <c r="C39" s="335" t="s">
        <v>277</v>
      </c>
      <c r="D39" s="336"/>
      <c r="E39" s="336"/>
      <c r="F39" s="337" t="str">
        <f>+I6</f>
        <v>@ Canal</v>
      </c>
      <c r="G39" s="324"/>
      <c r="H39" s="324"/>
      <c r="I39" s="129"/>
    </row>
    <row r="40" spans="1:13" x14ac:dyDescent="0.25">
      <c r="A40" s="129"/>
      <c r="B40" s="129"/>
      <c r="C40" s="324"/>
      <c r="D40" s="324"/>
      <c r="E40" s="324"/>
      <c r="F40" s="324"/>
      <c r="G40" s="324"/>
      <c r="H40" s="324"/>
      <c r="I40" s="129"/>
    </row>
    <row r="41" spans="1:13" x14ac:dyDescent="0.25">
      <c r="A41" s="129"/>
      <c r="B41" s="129"/>
      <c r="C41" s="129"/>
      <c r="D41" s="129"/>
      <c r="E41" s="129"/>
      <c r="F41" s="129"/>
      <c r="G41" s="129"/>
      <c r="H41" s="129"/>
      <c r="I41" s="129"/>
    </row>
    <row r="42" spans="1:13" x14ac:dyDescent="0.25">
      <c r="A42" s="129" t="s">
        <v>127</v>
      </c>
      <c r="B42" s="129"/>
      <c r="C42" s="130" t="s">
        <v>278</v>
      </c>
      <c r="D42" s="129"/>
      <c r="E42" s="129"/>
      <c r="F42" s="129"/>
      <c r="G42" s="129"/>
      <c r="H42" s="129"/>
      <c r="I42" s="129"/>
    </row>
    <row r="43" spans="1:13" x14ac:dyDescent="0.25">
      <c r="A43" s="129" t="s">
        <v>129</v>
      </c>
      <c r="B43" s="129"/>
      <c r="C43" s="129" t="s">
        <v>130</v>
      </c>
      <c r="D43" s="129"/>
      <c r="E43" s="129"/>
      <c r="F43" s="129"/>
      <c r="G43" s="129"/>
      <c r="H43" s="129"/>
      <c r="I43" s="129"/>
    </row>
    <row r="44" spans="1:13" x14ac:dyDescent="0.25">
      <c r="A44" s="130" t="s">
        <v>131</v>
      </c>
      <c r="B44" s="129"/>
      <c r="C44" s="129"/>
      <c r="D44" s="129"/>
      <c r="E44" s="129"/>
      <c r="F44" s="129"/>
      <c r="G44" s="129"/>
      <c r="H44" s="129"/>
      <c r="I44" s="129"/>
    </row>
    <row r="45" spans="1:13" x14ac:dyDescent="0.25">
      <c r="A45" s="130" t="s">
        <v>279</v>
      </c>
      <c r="B45" s="129"/>
      <c r="C45" s="129"/>
      <c r="D45" s="129"/>
      <c r="E45" s="129"/>
      <c r="F45" s="129"/>
      <c r="G45" s="129"/>
      <c r="H45" s="129"/>
      <c r="I45" s="129"/>
    </row>
    <row r="46" spans="1:13" x14ac:dyDescent="0.25">
      <c r="A46" s="129"/>
      <c r="B46" s="129"/>
      <c r="C46" s="129"/>
      <c r="D46" s="129"/>
      <c r="E46" s="129"/>
      <c r="F46" s="129"/>
      <c r="G46" s="129"/>
      <c r="H46" s="129"/>
      <c r="I46" s="129"/>
    </row>
    <row r="48" spans="1:13" x14ac:dyDescent="0.25">
      <c r="A48" s="2104" t="s">
        <v>280</v>
      </c>
      <c r="B48" s="2104"/>
      <c r="C48" s="2104"/>
      <c r="D48" s="2104"/>
      <c r="E48" s="2104"/>
      <c r="F48" s="2104"/>
      <c r="G48" s="2104"/>
      <c r="H48" s="2104"/>
      <c r="I48" s="2104"/>
      <c r="J48" s="90"/>
    </row>
    <row r="49" spans="1:10" x14ac:dyDescent="0.25">
      <c r="A49" s="2104" t="str">
        <f>C8</f>
        <v>CPWS SCHEME TO                                                                                                       DISTRICT</v>
      </c>
      <c r="B49" s="2105"/>
      <c r="C49" s="2105"/>
      <c r="D49" s="2105"/>
      <c r="E49" s="2105"/>
      <c r="F49" s="2105"/>
      <c r="G49" s="2105"/>
      <c r="H49" s="2105"/>
      <c r="I49" s="2105"/>
      <c r="J49" s="90"/>
    </row>
    <row r="50" spans="1:10" x14ac:dyDescent="0.25">
      <c r="A50" s="2106" t="s">
        <v>281</v>
      </c>
      <c r="B50" s="2107"/>
      <c r="C50" s="2107"/>
      <c r="D50" s="2107"/>
      <c r="E50" s="2107"/>
      <c r="F50" s="2107"/>
      <c r="G50" s="2107"/>
      <c r="H50" s="100" t="str">
        <f>+F39</f>
        <v>@ Canal</v>
      </c>
      <c r="I50" s="90"/>
      <c r="J50" s="90"/>
    </row>
    <row r="51" spans="1:10" x14ac:dyDescent="0.25">
      <c r="A51" s="90"/>
      <c r="B51" s="90"/>
      <c r="C51" s="90"/>
      <c r="D51" s="90"/>
      <c r="E51" s="90"/>
      <c r="F51" s="90"/>
      <c r="G51" s="176" t="s">
        <v>282</v>
      </c>
      <c r="H51" s="338">
        <f>+I108/100000</f>
        <v>5</v>
      </c>
      <c r="I51" s="90" t="s">
        <v>283</v>
      </c>
      <c r="J51" s="90"/>
    </row>
    <row r="52" spans="1:10" s="341" customFormat="1" ht="15.75" x14ac:dyDescent="0.25">
      <c r="A52" s="339" t="s">
        <v>137</v>
      </c>
      <c r="B52" s="2108" t="s">
        <v>284</v>
      </c>
      <c r="C52" s="2109"/>
      <c r="D52" s="2109"/>
      <c r="E52" s="2109"/>
      <c r="F52" s="2109"/>
      <c r="G52" s="340" t="s">
        <v>139</v>
      </c>
      <c r="H52" s="340" t="s">
        <v>140</v>
      </c>
      <c r="I52" s="340" t="s">
        <v>141</v>
      </c>
      <c r="J52" s="146"/>
    </row>
    <row r="53" spans="1:10" x14ac:dyDescent="0.25">
      <c r="A53" s="90"/>
      <c r="B53" s="90"/>
      <c r="C53" s="90"/>
      <c r="D53" s="90"/>
      <c r="E53" s="90"/>
      <c r="F53" s="90"/>
      <c r="G53" s="90"/>
      <c r="H53" s="90"/>
      <c r="I53" s="90"/>
      <c r="J53" s="90"/>
    </row>
    <row r="54" spans="1:10" s="344" customFormat="1" ht="33.75" customHeight="1" x14ac:dyDescent="0.25">
      <c r="A54" s="342">
        <v>1</v>
      </c>
      <c r="B54" s="2101" t="s">
        <v>142</v>
      </c>
      <c r="C54" s="2099"/>
      <c r="D54" s="2099"/>
      <c r="E54" s="2099"/>
      <c r="F54" s="343"/>
      <c r="G54" s="343"/>
      <c r="H54" s="343"/>
      <c r="I54" s="343"/>
      <c r="J54" s="343"/>
    </row>
    <row r="55" spans="1:10" s="344" customFormat="1" x14ac:dyDescent="0.25">
      <c r="A55" s="342"/>
      <c r="B55" s="345" t="s">
        <v>285</v>
      </c>
      <c r="C55" s="346" t="s">
        <v>143</v>
      </c>
      <c r="D55" s="347">
        <f>+$E$29+2*$C$32+2*$F$33+2*0.15</f>
        <v>5.0999999999999996</v>
      </c>
      <c r="E55" s="347">
        <f>+D55</f>
        <v>5.0999999999999996</v>
      </c>
      <c r="F55" s="347">
        <f>RAM!M111</f>
        <v>3</v>
      </c>
      <c r="G55" s="347">
        <f>+ROUND((22/28)*D55*E55*F55,2)</f>
        <v>61.31</v>
      </c>
      <c r="H55" s="347">
        <f>Data!I12</f>
        <v>158.80000000000001</v>
      </c>
      <c r="I55" s="348">
        <f>+ROUND(H55*G55,0)</f>
        <v>9736</v>
      </c>
      <c r="J55" s="343"/>
    </row>
    <row r="56" spans="1:10" s="344" customFormat="1" x14ac:dyDescent="0.25">
      <c r="A56" s="342"/>
      <c r="B56" s="345" t="s">
        <v>286</v>
      </c>
      <c r="C56" s="346" t="s">
        <v>143</v>
      </c>
      <c r="D56" s="347">
        <f t="shared" ref="D56:E58" si="0">+D55</f>
        <v>5.0999999999999996</v>
      </c>
      <c r="E56" s="347">
        <f t="shared" si="0"/>
        <v>5.0999999999999996</v>
      </c>
      <c r="F56" s="347">
        <f>RAM!M112</f>
        <v>9.9999999999999645E-2</v>
      </c>
      <c r="G56" s="347">
        <f>+ROUND((22/28)*D56*E56*F56,2)</f>
        <v>2.04</v>
      </c>
      <c r="H56" s="347">
        <f>Data!I18</f>
        <v>204.2</v>
      </c>
      <c r="I56" s="348">
        <f>+ROUND(H56*G56,0)</f>
        <v>417</v>
      </c>
      <c r="J56" s="343"/>
    </row>
    <row r="57" spans="1:10" s="344" customFormat="1" x14ac:dyDescent="0.25">
      <c r="A57" s="342"/>
      <c r="B57" s="349" t="s">
        <v>287</v>
      </c>
      <c r="C57" s="343" t="s">
        <v>288</v>
      </c>
      <c r="D57" s="347">
        <f t="shared" si="0"/>
        <v>5.0999999999999996</v>
      </c>
      <c r="E57" s="347">
        <f t="shared" si="0"/>
        <v>5.0999999999999996</v>
      </c>
      <c r="F57" s="347">
        <v>0</v>
      </c>
      <c r="G57" s="347">
        <f>+(22/28)*D57*E57*F57</f>
        <v>0</v>
      </c>
      <c r="H57" s="347">
        <v>423.8</v>
      </c>
      <c r="I57" s="348">
        <f>+ROUND(H57*G57,0)</f>
        <v>0</v>
      </c>
      <c r="J57" s="343"/>
    </row>
    <row r="58" spans="1:10" s="344" customFormat="1" x14ac:dyDescent="0.25">
      <c r="A58" s="342"/>
      <c r="B58" s="349" t="s">
        <v>289</v>
      </c>
      <c r="C58" s="343" t="s">
        <v>288</v>
      </c>
      <c r="D58" s="347">
        <f t="shared" si="0"/>
        <v>5.0999999999999996</v>
      </c>
      <c r="E58" s="347">
        <f t="shared" si="0"/>
        <v>5.0999999999999996</v>
      </c>
      <c r="F58" s="347">
        <v>0</v>
      </c>
      <c r="G58" s="347">
        <f>+(22/28)*D58*E58*F58</f>
        <v>0</v>
      </c>
      <c r="H58" s="347">
        <v>423.8</v>
      </c>
      <c r="I58" s="348">
        <f>+ROUND(H58*G58,0)</f>
        <v>0</v>
      </c>
      <c r="J58" s="343"/>
    </row>
    <row r="59" spans="1:10" s="344" customFormat="1" x14ac:dyDescent="0.25">
      <c r="A59" s="342"/>
      <c r="B59" s="345" t="s">
        <v>290</v>
      </c>
      <c r="C59" s="346" t="s">
        <v>143</v>
      </c>
      <c r="D59" s="347">
        <f>+D58</f>
        <v>5.0999999999999996</v>
      </c>
      <c r="E59" s="347">
        <f>+E58</f>
        <v>5.0999999999999996</v>
      </c>
      <c r="F59" s="347">
        <f>RAM!M115</f>
        <v>0</v>
      </c>
      <c r="G59" s="347">
        <f>+ROUND((22/28)*D59*E59*F59,2)</f>
        <v>0</v>
      </c>
      <c r="H59" s="347">
        <f>Data!I23</f>
        <v>272.2</v>
      </c>
      <c r="I59" s="348">
        <f>+ROUND(H59*G59,0)</f>
        <v>0</v>
      </c>
      <c r="J59" s="343"/>
    </row>
    <row r="60" spans="1:10" s="344" customFormat="1" x14ac:dyDescent="0.25">
      <c r="A60" s="342"/>
      <c r="B60" s="343"/>
      <c r="C60" s="343"/>
      <c r="D60" s="343"/>
      <c r="E60" s="343"/>
      <c r="F60" s="343"/>
      <c r="G60" s="343"/>
      <c r="H60" s="343"/>
      <c r="I60" s="343"/>
      <c r="J60" s="343"/>
    </row>
    <row r="61" spans="1:10" s="344" customFormat="1" ht="41.25" customHeight="1" x14ac:dyDescent="0.25">
      <c r="A61" s="342" t="s">
        <v>291</v>
      </c>
      <c r="B61" s="2101" t="s">
        <v>145</v>
      </c>
      <c r="C61" s="2099"/>
      <c r="D61" s="2099"/>
      <c r="E61" s="2099"/>
      <c r="F61" s="343"/>
      <c r="G61" s="343"/>
      <c r="H61" s="343"/>
      <c r="I61" s="343"/>
      <c r="J61" s="343"/>
    </row>
    <row r="62" spans="1:10" s="344" customFormat="1" x14ac:dyDescent="0.25">
      <c r="A62" s="342"/>
      <c r="B62" s="350"/>
      <c r="C62" s="343"/>
      <c r="D62" s="346" t="s">
        <v>143</v>
      </c>
      <c r="E62" s="347">
        <f>+$E$29+2*$C$32+2*$F$33+0.3</f>
        <v>5.0999999999999996</v>
      </c>
      <c r="F62" s="347">
        <f>+H38</f>
        <v>0.3</v>
      </c>
      <c r="G62" s="347">
        <f>+ROUND((22/28)*E62*E62*F62,2)</f>
        <v>6.13</v>
      </c>
      <c r="H62" s="347">
        <f>Data!I30</f>
        <v>937.7</v>
      </c>
      <c r="I62" s="348">
        <f>+ROUND(H62*G62,0)</f>
        <v>5748</v>
      </c>
      <c r="J62" s="343"/>
    </row>
    <row r="63" spans="1:10" s="344" customFormat="1" x14ac:dyDescent="0.25">
      <c r="A63" s="342"/>
      <c r="B63" s="350"/>
      <c r="C63" s="343"/>
      <c r="D63" s="343"/>
      <c r="E63" s="343"/>
      <c r="F63" s="343"/>
      <c r="G63" s="343"/>
      <c r="H63" s="343"/>
      <c r="I63" s="343"/>
      <c r="J63" s="343"/>
    </row>
    <row r="64" spans="1:10" s="344" customFormat="1" ht="48.75" customHeight="1" x14ac:dyDescent="0.25">
      <c r="A64" s="342">
        <v>3</v>
      </c>
      <c r="B64" s="2101" t="s">
        <v>144</v>
      </c>
      <c r="C64" s="2099"/>
      <c r="D64" s="2099"/>
      <c r="E64" s="2099"/>
      <c r="F64" s="347"/>
      <c r="G64" s="347"/>
      <c r="H64" s="347"/>
      <c r="I64" s="343"/>
      <c r="J64" s="343"/>
    </row>
    <row r="65" spans="1:10" s="344" customFormat="1" x14ac:dyDescent="0.25">
      <c r="A65" s="342"/>
      <c r="B65" s="350"/>
      <c r="C65" s="346" t="s">
        <v>143</v>
      </c>
      <c r="D65" s="347">
        <f>+$E$29+2*$C$32+2*$F$33+0.3</f>
        <v>5.0999999999999996</v>
      </c>
      <c r="E65" s="347">
        <f>+D65</f>
        <v>5.0999999999999996</v>
      </c>
      <c r="F65" s="347">
        <f>+H37</f>
        <v>0.3</v>
      </c>
      <c r="G65" s="347">
        <f>+ROUND((22/28)*D65^2*F65,2)</f>
        <v>6.13</v>
      </c>
      <c r="H65" s="347">
        <f>Data!I44</f>
        <v>4470.5</v>
      </c>
      <c r="I65" s="348">
        <f>+ROUND(H65*G65,0)</f>
        <v>27404</v>
      </c>
      <c r="J65" s="343"/>
    </row>
    <row r="66" spans="1:10" s="344" customFormat="1" x14ac:dyDescent="0.25">
      <c r="A66" s="342"/>
      <c r="B66" s="343"/>
      <c r="C66" s="343"/>
      <c r="D66" s="343"/>
      <c r="E66" s="343"/>
      <c r="F66" s="343"/>
      <c r="G66" s="347"/>
      <c r="H66" s="343"/>
      <c r="I66" s="343"/>
      <c r="J66" s="343"/>
    </row>
    <row r="67" spans="1:10" s="344" customFormat="1" ht="51.75" customHeight="1" x14ac:dyDescent="0.25">
      <c r="A67" s="342">
        <v>4</v>
      </c>
      <c r="B67" s="2101" t="s">
        <v>292</v>
      </c>
      <c r="C67" s="2099"/>
      <c r="D67" s="2099"/>
      <c r="E67" s="2099"/>
      <c r="F67" s="343"/>
      <c r="G67" s="343"/>
      <c r="H67" s="343"/>
      <c r="I67" s="343"/>
      <c r="J67" s="343"/>
    </row>
    <row r="68" spans="1:10" s="344" customFormat="1" x14ac:dyDescent="0.25">
      <c r="A68" s="342"/>
      <c r="B68" s="351"/>
      <c r="C68" s="346" t="s">
        <v>143</v>
      </c>
      <c r="D68" s="347">
        <f>+$E$29+2*$C$32+2*$F$33+0.3</f>
        <v>5.0999999999999996</v>
      </c>
      <c r="E68" s="347">
        <f>+D68</f>
        <v>5.0999999999999996</v>
      </c>
      <c r="F68" s="347">
        <f>+H36</f>
        <v>0.2</v>
      </c>
      <c r="G68" s="347">
        <f>+(22/28)*D68^2*F68</f>
        <v>4.0872857142857137</v>
      </c>
      <c r="H68" s="347">
        <f>Data!I59</f>
        <v>5442.3</v>
      </c>
      <c r="I68" s="348">
        <f>+ROUND(H68*G68,0)</f>
        <v>22244</v>
      </c>
      <c r="J68" s="343"/>
    </row>
    <row r="69" spans="1:10" s="344" customFormat="1" ht="52.5" customHeight="1" x14ac:dyDescent="0.25">
      <c r="A69" s="342">
        <v>5</v>
      </c>
      <c r="B69" s="2098" t="s">
        <v>293</v>
      </c>
      <c r="C69" s="2099"/>
      <c r="D69" s="2099"/>
      <c r="E69" s="2099"/>
      <c r="F69" s="343"/>
      <c r="G69" s="347"/>
      <c r="H69" s="343"/>
      <c r="I69" s="343"/>
      <c r="J69" s="343"/>
    </row>
    <row r="70" spans="1:10" s="344" customFormat="1" x14ac:dyDescent="0.25">
      <c r="A70" s="342"/>
      <c r="B70" s="343"/>
      <c r="C70" s="352" t="s">
        <v>147</v>
      </c>
      <c r="D70" s="347">
        <f>+E29+C32</f>
        <v>3.15</v>
      </c>
      <c r="E70" s="347">
        <f>+C35</f>
        <v>0.3</v>
      </c>
      <c r="F70" s="347">
        <f>+(C32+2*F33)</f>
        <v>1.65</v>
      </c>
      <c r="G70" s="347">
        <f>+(22/7)*D70*E70*F70</f>
        <v>4.9005000000000001</v>
      </c>
      <c r="H70" s="353">
        <f>Data!I555</f>
        <v>10975</v>
      </c>
      <c r="I70" s="348">
        <f>+ROUND(H70*G70,0)</f>
        <v>53783</v>
      </c>
      <c r="J70" s="343"/>
    </row>
    <row r="71" spans="1:10" s="344" customFormat="1" ht="57" customHeight="1" x14ac:dyDescent="0.25">
      <c r="A71" s="342">
        <v>6</v>
      </c>
      <c r="B71" s="2098" t="s">
        <v>294</v>
      </c>
      <c r="C71" s="2099"/>
      <c r="D71" s="2099"/>
      <c r="E71" s="2099"/>
      <c r="F71" s="343"/>
      <c r="G71" s="343"/>
      <c r="H71" s="343"/>
      <c r="I71" s="343"/>
      <c r="J71" s="343"/>
    </row>
    <row r="72" spans="1:10" s="344" customFormat="1" x14ac:dyDescent="0.25">
      <c r="A72" s="342"/>
      <c r="B72" s="354" t="s">
        <v>295</v>
      </c>
      <c r="C72" s="352" t="s">
        <v>147</v>
      </c>
      <c r="D72" s="347">
        <f>+E29+C32</f>
        <v>3.15</v>
      </c>
      <c r="E72" s="347">
        <f>+C32</f>
        <v>0.15</v>
      </c>
      <c r="F72" s="355">
        <f>+IF(C25&gt;5,"5.00",C25)</f>
        <v>0.6</v>
      </c>
      <c r="G72" s="347">
        <f>+(22/7)*D72*E72*F72</f>
        <v>0.89100000000000001</v>
      </c>
      <c r="H72" s="347">
        <f>Data!I524</f>
        <v>17492.5</v>
      </c>
      <c r="I72" s="348">
        <f>+ROUND(H72*G72,0)</f>
        <v>15586</v>
      </c>
      <c r="J72" s="343"/>
    </row>
    <row r="73" spans="1:10" s="344" customFormat="1" x14ac:dyDescent="0.25">
      <c r="A73" s="342"/>
      <c r="B73" s="343" t="s">
        <v>296</v>
      </c>
      <c r="C73" s="352" t="s">
        <v>147</v>
      </c>
      <c r="D73" s="347">
        <f>+D72</f>
        <v>3.15</v>
      </c>
      <c r="E73" s="347">
        <f>+E72</f>
        <v>0.15</v>
      </c>
      <c r="F73" s="347">
        <f>+IF(C29&gt;=4,4,C29)</f>
        <v>2</v>
      </c>
      <c r="G73" s="347">
        <f>+(22/7)*D73*E73*F73</f>
        <v>2.97</v>
      </c>
      <c r="H73" s="347">
        <f>Data!I524</f>
        <v>17492.5</v>
      </c>
      <c r="I73" s="348">
        <f>+ROUND(H73*G73,0)</f>
        <v>51953</v>
      </c>
      <c r="J73" s="343"/>
    </row>
    <row r="74" spans="1:10" s="344" customFormat="1" x14ac:dyDescent="0.25">
      <c r="A74" s="342"/>
      <c r="B74" s="343" t="s">
        <v>296</v>
      </c>
      <c r="C74" s="352" t="s">
        <v>147</v>
      </c>
      <c r="D74" s="347">
        <f>+D73</f>
        <v>3.15</v>
      </c>
      <c r="E74" s="347">
        <f>+E73</f>
        <v>0.15</v>
      </c>
      <c r="F74" s="347">
        <f>+IF(C29&lt;4,0,C29-4)</f>
        <v>0</v>
      </c>
      <c r="G74" s="347">
        <f>+(22/7)*D74*E74*F74</f>
        <v>0</v>
      </c>
      <c r="H74" s="347">
        <f>+Data!I532</f>
        <v>19295.7</v>
      </c>
      <c r="I74" s="348">
        <f>+ROUND(H74*G74,0)</f>
        <v>0</v>
      </c>
      <c r="J74" s="343"/>
    </row>
    <row r="75" spans="1:10" s="344" customFormat="1" ht="66.75" customHeight="1" x14ac:dyDescent="0.25">
      <c r="A75" s="342">
        <v>7</v>
      </c>
      <c r="B75" s="2098" t="s">
        <v>297</v>
      </c>
      <c r="C75" s="2099"/>
      <c r="D75" s="2099"/>
      <c r="E75" s="2099"/>
      <c r="F75" s="343"/>
      <c r="G75" s="343"/>
      <c r="H75" s="343"/>
      <c r="I75" s="343"/>
      <c r="J75" s="343"/>
    </row>
    <row r="76" spans="1:10" s="344" customFormat="1" x14ac:dyDescent="0.25">
      <c r="A76" s="342"/>
      <c r="B76" s="343"/>
      <c r="C76" s="352" t="s">
        <v>147</v>
      </c>
      <c r="D76" s="347">
        <f>+D73</f>
        <v>3.15</v>
      </c>
      <c r="E76" s="347">
        <f>+C17</f>
        <v>0.1</v>
      </c>
      <c r="F76" s="347">
        <f>+C15</f>
        <v>3.6</v>
      </c>
      <c r="G76" s="347">
        <f>+ROUND((22/7)*D76*E76*F76,2)</f>
        <v>3.56</v>
      </c>
      <c r="H76" s="343"/>
      <c r="I76" s="343"/>
      <c r="J76" s="343"/>
    </row>
    <row r="77" spans="1:10" s="344" customFormat="1" x14ac:dyDescent="0.25">
      <c r="A77" s="342"/>
      <c r="B77" s="354" t="s">
        <v>298</v>
      </c>
      <c r="C77" s="354" t="s">
        <v>299</v>
      </c>
      <c r="D77" s="348">
        <v>1</v>
      </c>
      <c r="E77" s="347">
        <v>2.1</v>
      </c>
      <c r="F77" s="347">
        <v>1.2</v>
      </c>
      <c r="G77" s="347">
        <f>+ROUND(E77*F77*0.1*D77,2)</f>
        <v>0.25</v>
      </c>
      <c r="H77" s="343"/>
      <c r="I77" s="343"/>
      <c r="J77" s="343"/>
    </row>
    <row r="78" spans="1:10" s="344" customFormat="1" x14ac:dyDescent="0.25">
      <c r="A78" s="342"/>
      <c r="B78" s="354" t="s">
        <v>298</v>
      </c>
      <c r="C78" s="354" t="s">
        <v>300</v>
      </c>
      <c r="D78" s="348">
        <v>2</v>
      </c>
      <c r="E78" s="347">
        <v>0.9</v>
      </c>
      <c r="F78" s="347">
        <v>1.2</v>
      </c>
      <c r="G78" s="347">
        <f>+ROUND(F78*E78*D78*0.1,2)</f>
        <v>0.22</v>
      </c>
      <c r="H78" s="343"/>
      <c r="I78" s="343"/>
      <c r="J78" s="343"/>
    </row>
    <row r="79" spans="1:10" s="344" customFormat="1" x14ac:dyDescent="0.25">
      <c r="A79" s="342"/>
      <c r="B79" s="343"/>
      <c r="C79" s="343"/>
      <c r="D79" s="343"/>
      <c r="E79" s="343"/>
      <c r="F79" s="342" t="s">
        <v>23</v>
      </c>
      <c r="G79" s="347">
        <f>+G76-G77-G78</f>
        <v>3.09</v>
      </c>
      <c r="H79" s="347">
        <f>Data!I539</f>
        <v>22010.799999999999</v>
      </c>
      <c r="I79" s="348">
        <f>+ROUND(H79*G79,0)</f>
        <v>68013</v>
      </c>
      <c r="J79" s="343"/>
    </row>
    <row r="80" spans="1:10" s="344" customFormat="1" ht="66" customHeight="1" x14ac:dyDescent="0.25">
      <c r="A80" s="342">
        <v>8</v>
      </c>
      <c r="B80" s="2098" t="str">
        <f>+CONCATENATE("M30 grade concrete using 20 mm HBG metal including cost and conveyance of all the materials,but excluding the cost of the steel etc complete for Pump House Floor Slab-",C22,"0 m thick")</f>
        <v>M30 grade concrete using 20 mm HBG metal including cost and conveyance of all the materials,but excluding the cost of the steel etc complete for Pump House Floor Slab-0.150 m thick</v>
      </c>
      <c r="C80" s="2099"/>
      <c r="D80" s="2099"/>
      <c r="E80" s="2099"/>
      <c r="F80" s="343"/>
      <c r="G80" s="343"/>
      <c r="H80" s="343"/>
      <c r="I80" s="343"/>
      <c r="J80" s="343"/>
    </row>
    <row r="81" spans="1:10" s="344" customFormat="1" x14ac:dyDescent="0.25">
      <c r="A81" s="342"/>
      <c r="B81" s="343"/>
      <c r="C81" s="343"/>
      <c r="D81" s="346" t="s">
        <v>143</v>
      </c>
      <c r="E81" s="347">
        <f>+E21</f>
        <v>3.5999999999999996</v>
      </c>
      <c r="F81" s="347">
        <f>+E81</f>
        <v>3.5999999999999996</v>
      </c>
      <c r="G81" s="347">
        <f>+(E81*F81*0.785398)</f>
        <v>10.178758079999998</v>
      </c>
      <c r="H81" s="347">
        <f>Data!I547</f>
        <v>13422</v>
      </c>
      <c r="I81" s="348">
        <f>+ROUND(H81*G81*0.1,0)</f>
        <v>13662</v>
      </c>
      <c r="J81" s="343"/>
    </row>
    <row r="82" spans="1:10" s="344" customFormat="1" ht="73.5" customHeight="1" x14ac:dyDescent="0.25">
      <c r="A82" s="342">
        <v>9</v>
      </c>
      <c r="B82" s="2098" t="str">
        <f>+CONCATENATE("M30 grade concrete using 20 mm HBG metal including cost and conveyance of all the materials,but excluding the cost of the steel etc complete for Pump House Top Slab-",C13,"0 m thick")</f>
        <v>M30 grade concrete using 20 mm HBG metal including cost and conveyance of all the materials,but excluding the cost of the steel etc complete for Pump House Top Slab-0.10 m thick</v>
      </c>
      <c r="C82" s="2099"/>
      <c r="D82" s="2099"/>
      <c r="E82" s="2099"/>
      <c r="F82" s="343"/>
      <c r="G82" s="343"/>
      <c r="H82" s="343"/>
      <c r="I82" s="343"/>
      <c r="J82" s="343"/>
    </row>
    <row r="83" spans="1:10" s="344" customFormat="1" x14ac:dyDescent="0.25">
      <c r="A83" s="342"/>
      <c r="B83" s="350"/>
      <c r="C83" s="343"/>
      <c r="D83" s="346" t="s">
        <v>143</v>
      </c>
      <c r="E83" s="347">
        <f>+E29+2*C32+2*0.3</f>
        <v>3.9</v>
      </c>
      <c r="F83" s="347">
        <f>+E83</f>
        <v>3.9</v>
      </c>
      <c r="G83" s="347">
        <f>+(22/28)*(E83^2)</f>
        <v>11.950714285714286</v>
      </c>
      <c r="H83" s="347">
        <f>Data!I564</f>
        <v>11620.7</v>
      </c>
      <c r="I83" s="348">
        <f>+ROUND(H83*G83*0.1,0)</f>
        <v>13888</v>
      </c>
      <c r="J83" s="343"/>
    </row>
    <row r="84" spans="1:10" s="344" customFormat="1" ht="42" customHeight="1" x14ac:dyDescent="0.25">
      <c r="A84" s="342">
        <v>10</v>
      </c>
      <c r="B84" s="2098" t="s">
        <v>156</v>
      </c>
      <c r="C84" s="2099"/>
      <c r="D84" s="2099"/>
      <c r="E84" s="2099"/>
      <c r="F84" s="343"/>
      <c r="G84" s="343"/>
      <c r="H84" s="343"/>
      <c r="I84" s="343"/>
      <c r="J84" s="343"/>
    </row>
    <row r="85" spans="1:10" s="344" customFormat="1" x14ac:dyDescent="0.25">
      <c r="A85" s="342"/>
      <c r="B85" s="356"/>
      <c r="C85" s="343"/>
      <c r="D85" s="355"/>
      <c r="E85" s="355"/>
      <c r="F85" s="347"/>
      <c r="G85" s="357">
        <f>+(G70+G72+G73+G79+G83*C13+G81*C22)*0.075</f>
        <v>1.093003885542857</v>
      </c>
      <c r="H85" s="353">
        <f>Data!H327</f>
        <v>60670.400000000001</v>
      </c>
      <c r="I85" s="348">
        <f>+ROUND(H85*G85,0)</f>
        <v>66313</v>
      </c>
      <c r="J85" s="343"/>
    </row>
    <row r="86" spans="1:10" s="344" customFormat="1" ht="47.25" customHeight="1" x14ac:dyDescent="0.25">
      <c r="A86" s="342">
        <v>11</v>
      </c>
      <c r="B86" s="2101" t="s">
        <v>301</v>
      </c>
      <c r="C86" s="2099"/>
      <c r="D86" s="2099"/>
      <c r="E86" s="2099"/>
      <c r="F86" s="347"/>
      <c r="G86" s="347"/>
      <c r="H86" s="347"/>
      <c r="I86" s="348"/>
      <c r="J86" s="343"/>
    </row>
    <row r="87" spans="1:10" s="344" customFormat="1" x14ac:dyDescent="0.25">
      <c r="A87" s="342"/>
      <c r="B87" s="2098" t="s">
        <v>302</v>
      </c>
      <c r="C87" s="2099"/>
      <c r="D87" s="346" t="s">
        <v>143</v>
      </c>
      <c r="E87" s="347">
        <f>+E21</f>
        <v>3.5999999999999996</v>
      </c>
      <c r="F87" s="347">
        <f>+E87</f>
        <v>3.5999999999999996</v>
      </c>
      <c r="G87" s="347">
        <f>+(22/28)*E87*F87</f>
        <v>10.182857142857141</v>
      </c>
      <c r="H87" s="347"/>
      <c r="I87" s="348"/>
      <c r="J87" s="343"/>
    </row>
    <row r="88" spans="1:10" s="344" customFormat="1" x14ac:dyDescent="0.25">
      <c r="A88" s="342"/>
      <c r="B88" s="2098" t="s">
        <v>303</v>
      </c>
      <c r="C88" s="2099"/>
      <c r="D88" s="346" t="s">
        <v>143</v>
      </c>
      <c r="E88" s="347">
        <f>+E83</f>
        <v>3.9</v>
      </c>
      <c r="F88" s="347">
        <f>+E88</f>
        <v>3.9</v>
      </c>
      <c r="G88" s="347">
        <f>+(22/28)*E88*F88</f>
        <v>11.950714285714284</v>
      </c>
      <c r="H88" s="347"/>
      <c r="I88" s="348"/>
      <c r="J88" s="343"/>
    </row>
    <row r="89" spans="1:10" s="344" customFormat="1" x14ac:dyDescent="0.25">
      <c r="A89" s="342"/>
      <c r="B89" s="351"/>
      <c r="C89" s="343"/>
      <c r="D89" s="343"/>
      <c r="E89" s="343"/>
      <c r="F89" s="358" t="s">
        <v>23</v>
      </c>
      <c r="G89" s="347">
        <f>SUM(G87:G88)</f>
        <v>22.133571428571425</v>
      </c>
      <c r="H89" s="347">
        <f>Data!I233</f>
        <v>2436.1999999999998</v>
      </c>
      <c r="I89" s="348">
        <f>+ROUND(H89*G89*0.1,0)</f>
        <v>5392</v>
      </c>
      <c r="J89" s="343"/>
    </row>
    <row r="90" spans="1:10" s="344" customFormat="1" ht="45.75" customHeight="1" x14ac:dyDescent="0.25">
      <c r="A90" s="342">
        <v>12</v>
      </c>
      <c r="B90" s="2101" t="s">
        <v>151</v>
      </c>
      <c r="C90" s="2099"/>
      <c r="D90" s="2099"/>
      <c r="E90" s="2099"/>
      <c r="F90" s="347"/>
      <c r="G90" s="343"/>
      <c r="H90" s="343"/>
      <c r="I90" s="343"/>
      <c r="J90" s="343"/>
    </row>
    <row r="91" spans="1:10" s="344" customFormat="1" x14ac:dyDescent="0.25">
      <c r="A91" s="342"/>
      <c r="B91" s="2098" t="s">
        <v>304</v>
      </c>
      <c r="C91" s="2099"/>
      <c r="D91" s="352" t="s">
        <v>147</v>
      </c>
      <c r="E91" s="347">
        <f>+$E$29+$C$32-0.1</f>
        <v>3.05</v>
      </c>
      <c r="F91" s="347">
        <f>+F76</f>
        <v>3.6</v>
      </c>
      <c r="G91" s="347">
        <f>+(22/7)*E91*F91</f>
        <v>34.508571428571429</v>
      </c>
      <c r="H91" s="347"/>
      <c r="I91" s="348"/>
      <c r="J91" s="343"/>
    </row>
    <row r="92" spans="1:10" s="344" customFormat="1" x14ac:dyDescent="0.25">
      <c r="A92" s="342"/>
      <c r="B92" s="2098" t="s">
        <v>305</v>
      </c>
      <c r="C92" s="2099"/>
      <c r="D92" s="352" t="s">
        <v>147</v>
      </c>
      <c r="E92" s="347">
        <f>+$E$29+$C$32+0.1</f>
        <v>3.25</v>
      </c>
      <c r="F92" s="343">
        <f>+F91</f>
        <v>3.6</v>
      </c>
      <c r="G92" s="347">
        <f>+(22/7)*E92*F92</f>
        <v>36.771428571428572</v>
      </c>
      <c r="H92" s="347"/>
      <c r="I92" s="348"/>
      <c r="J92" s="343"/>
    </row>
    <row r="93" spans="1:10" s="344" customFormat="1" x14ac:dyDescent="0.25">
      <c r="A93" s="342"/>
      <c r="B93" s="354" t="s">
        <v>298</v>
      </c>
      <c r="C93" s="354" t="s">
        <v>299</v>
      </c>
      <c r="D93" s="342">
        <v>1</v>
      </c>
      <c r="E93" s="343">
        <v>1.2</v>
      </c>
      <c r="F93" s="343">
        <v>2.1</v>
      </c>
      <c r="G93" s="343">
        <f>+F93*E93</f>
        <v>2.52</v>
      </c>
      <c r="H93" s="343"/>
      <c r="I93" s="343"/>
      <c r="J93" s="343"/>
    </row>
    <row r="94" spans="1:10" s="344" customFormat="1" x14ac:dyDescent="0.25">
      <c r="A94" s="342"/>
      <c r="B94" s="354" t="s">
        <v>298</v>
      </c>
      <c r="C94" s="354" t="s">
        <v>300</v>
      </c>
      <c r="D94" s="342">
        <v>2</v>
      </c>
      <c r="E94" s="343">
        <v>0.9</v>
      </c>
      <c r="F94" s="343">
        <v>1.2</v>
      </c>
      <c r="G94" s="343">
        <f>+F94*E94*D94</f>
        <v>2.16</v>
      </c>
      <c r="H94" s="343"/>
      <c r="I94" s="343"/>
      <c r="J94" s="343"/>
    </row>
    <row r="95" spans="1:10" s="344" customFormat="1" x14ac:dyDescent="0.25">
      <c r="A95" s="342"/>
      <c r="B95" s="350"/>
      <c r="C95" s="343"/>
      <c r="D95" s="343"/>
      <c r="E95" s="343"/>
      <c r="F95" s="343" t="s">
        <v>23</v>
      </c>
      <c r="G95" s="347">
        <f>+G91+G92-G93-G94</f>
        <v>66.600000000000009</v>
      </c>
      <c r="H95" s="347">
        <f>Data!I670</f>
        <v>1491.9</v>
      </c>
      <c r="I95" s="348">
        <f>+ROUND(H95*G95*0.1,0)</f>
        <v>9936</v>
      </c>
      <c r="J95" s="343"/>
    </row>
    <row r="96" spans="1:10" s="344" customFormat="1" ht="39.75" customHeight="1" x14ac:dyDescent="0.25">
      <c r="A96" s="342">
        <v>13</v>
      </c>
      <c r="B96" s="2101" t="s">
        <v>306</v>
      </c>
      <c r="C96" s="2099"/>
      <c r="D96" s="2099"/>
      <c r="E96" s="2099"/>
      <c r="F96" s="347"/>
      <c r="G96" s="347"/>
      <c r="H96" s="347"/>
      <c r="I96" s="348"/>
      <c r="J96" s="343"/>
    </row>
    <row r="97" spans="1:12" s="344" customFormat="1" x14ac:dyDescent="0.25">
      <c r="A97" s="342"/>
      <c r="B97" s="2098" t="s">
        <v>307</v>
      </c>
      <c r="C97" s="2099"/>
      <c r="D97" s="343"/>
      <c r="E97" s="343"/>
      <c r="F97" s="343"/>
      <c r="G97" s="347">
        <f>+G95</f>
        <v>66.600000000000009</v>
      </c>
      <c r="H97" s="347">
        <f>Data!I315</f>
        <v>1202.7</v>
      </c>
      <c r="I97" s="348">
        <f>+ROUND(H97*G97*0.1,0)</f>
        <v>8010</v>
      </c>
      <c r="J97" s="343"/>
    </row>
    <row r="98" spans="1:12" s="344" customFormat="1" ht="45.75" customHeight="1" x14ac:dyDescent="0.25">
      <c r="A98" s="342">
        <v>14</v>
      </c>
      <c r="B98" s="2098" t="s">
        <v>308</v>
      </c>
      <c r="C98" s="2099"/>
      <c r="D98" s="2099"/>
      <c r="E98" s="2099"/>
      <c r="F98" s="343"/>
      <c r="G98" s="343"/>
      <c r="H98" s="343"/>
      <c r="I98" s="343"/>
      <c r="J98" s="343"/>
    </row>
    <row r="99" spans="1:12" s="344" customFormat="1" x14ac:dyDescent="0.25">
      <c r="A99" s="342"/>
      <c r="B99" s="354" t="s">
        <v>299</v>
      </c>
      <c r="C99" s="343"/>
      <c r="D99" s="343"/>
      <c r="E99" s="343"/>
      <c r="F99" s="359" t="s">
        <v>309</v>
      </c>
      <c r="G99" s="347"/>
      <c r="H99" s="343"/>
      <c r="I99" s="360">
        <v>3500</v>
      </c>
      <c r="J99" s="343"/>
    </row>
    <row r="100" spans="1:12" s="344" customFormat="1" x14ac:dyDescent="0.25">
      <c r="A100" s="342"/>
      <c r="B100" s="354" t="s">
        <v>300</v>
      </c>
      <c r="C100" s="343"/>
      <c r="D100" s="343"/>
      <c r="E100" s="343"/>
      <c r="F100" s="359" t="s">
        <v>100</v>
      </c>
      <c r="G100" s="347"/>
      <c r="H100" s="343"/>
      <c r="I100" s="361">
        <f>2500*2</f>
        <v>5000</v>
      </c>
      <c r="J100" s="343"/>
    </row>
    <row r="101" spans="1:12" s="344" customFormat="1" ht="50.25" customHeight="1" x14ac:dyDescent="0.25">
      <c r="A101" s="342">
        <v>15</v>
      </c>
      <c r="B101" s="2098" t="s">
        <v>310</v>
      </c>
      <c r="C101" s="2099"/>
      <c r="D101" s="2099"/>
      <c r="E101" s="2099"/>
      <c r="F101" s="343"/>
      <c r="G101" s="343"/>
      <c r="H101" s="343"/>
      <c r="I101" s="343"/>
      <c r="J101" s="343"/>
    </row>
    <row r="102" spans="1:12" s="344" customFormat="1" x14ac:dyDescent="0.25">
      <c r="A102" s="342"/>
      <c r="B102" s="2100" t="str">
        <f>+CONCATENATE(+RAM!J112," Dia pipe ","2mt-",RAM!I113," ,0.9mt-",RAM!I114,",0.6mt-",RAM!I115,",Circular Bend-",RAM!I117, ",Duckfoot bend-",RAM!I116,"With 14% Contractor's Profit")</f>
        <v>350 Dia pipe 2mt-1 ,0.9mt-2,0.6mt-1,Circular Bend-1,Duckfoot bend-1With 14% Contractor's Profit</v>
      </c>
      <c r="C102" s="2100"/>
      <c r="D102" s="2100"/>
      <c r="E102" s="2100"/>
      <c r="F102" s="343"/>
      <c r="G102" s="343"/>
      <c r="H102" s="343"/>
      <c r="I102" s="348">
        <f>ROUND(RAM!J118*1.14,0)</f>
        <v>108669</v>
      </c>
      <c r="J102" s="343"/>
    </row>
    <row r="103" spans="1:12" s="344" customFormat="1" ht="45.75" customHeight="1" x14ac:dyDescent="0.25">
      <c r="A103" s="342">
        <v>16</v>
      </c>
      <c r="B103" s="2101" t="s">
        <v>311</v>
      </c>
      <c r="C103" s="2099"/>
      <c r="D103" s="2099"/>
      <c r="E103" s="2099"/>
      <c r="F103" s="343"/>
      <c r="G103" s="343"/>
      <c r="H103" s="343"/>
      <c r="I103" s="343"/>
      <c r="J103" s="343"/>
    </row>
    <row r="104" spans="1:12" s="344" customFormat="1" x14ac:dyDescent="0.25">
      <c r="A104" s="342"/>
      <c r="B104" s="354" t="s">
        <v>299</v>
      </c>
      <c r="C104" s="343"/>
      <c r="D104" s="343"/>
      <c r="E104" s="343"/>
      <c r="F104" s="359" t="s">
        <v>309</v>
      </c>
      <c r="G104" s="343">
        <v>4.7300000000000004</v>
      </c>
      <c r="H104" s="343"/>
      <c r="I104" s="343"/>
      <c r="J104" s="343"/>
    </row>
    <row r="105" spans="1:12" s="344" customFormat="1" x14ac:dyDescent="0.25">
      <c r="A105" s="342"/>
      <c r="B105" s="354" t="s">
        <v>300</v>
      </c>
      <c r="C105" s="343"/>
      <c r="D105" s="343"/>
      <c r="E105" s="343"/>
      <c r="F105" s="359" t="s">
        <v>100</v>
      </c>
      <c r="G105" s="343">
        <v>5.94</v>
      </c>
      <c r="H105" s="343"/>
      <c r="I105" s="343"/>
      <c r="J105" s="343"/>
    </row>
    <row r="106" spans="1:12" s="344" customFormat="1" x14ac:dyDescent="0.25">
      <c r="A106" s="342"/>
      <c r="B106" s="350"/>
      <c r="C106" s="343"/>
      <c r="D106" s="343"/>
      <c r="E106" s="343"/>
      <c r="F106" s="343"/>
      <c r="G106" s="343">
        <f>SUM(G104:G105)</f>
        <v>10.670000000000002</v>
      </c>
      <c r="H106" s="347">
        <f>Data!I288</f>
        <v>2209.6999999999998</v>
      </c>
      <c r="I106" s="348">
        <f>+ROUND(H106*G106*0.1,0)</f>
        <v>2358</v>
      </c>
      <c r="J106" s="343"/>
    </row>
    <row r="107" spans="1:12" s="344" customFormat="1" x14ac:dyDescent="0.25">
      <c r="A107" s="342">
        <v>17</v>
      </c>
      <c r="B107" s="2098" t="s">
        <v>312</v>
      </c>
      <c r="C107" s="2099"/>
      <c r="D107" s="2099"/>
      <c r="E107" s="2099"/>
      <c r="F107" s="343"/>
      <c r="G107" s="343"/>
      <c r="H107" s="343"/>
      <c r="I107" s="348">
        <f>+I108-SUM(I55:I106)</f>
        <v>8388</v>
      </c>
      <c r="J107" s="343"/>
    </row>
    <row r="108" spans="1:12" s="344" customFormat="1" x14ac:dyDescent="0.25">
      <c r="A108" s="342"/>
      <c r="B108" s="362"/>
      <c r="C108" s="343"/>
      <c r="D108" s="343"/>
      <c r="E108" s="343"/>
      <c r="F108" s="343"/>
      <c r="G108" s="343"/>
      <c r="H108" s="363" t="s">
        <v>23</v>
      </c>
      <c r="I108" s="364">
        <f>((INT(SUM(I55:I106)*0.00004))*25000)+25000</f>
        <v>500000</v>
      </c>
      <c r="J108" s="343"/>
      <c r="L108" s="365"/>
    </row>
    <row r="109" spans="1:12" s="344" customFormat="1" x14ac:dyDescent="0.25">
      <c r="A109" s="342"/>
      <c r="B109" s="350"/>
      <c r="C109" s="343"/>
      <c r="D109" s="343"/>
      <c r="E109" s="343"/>
      <c r="F109" s="343"/>
      <c r="G109" s="343"/>
      <c r="H109" s="343"/>
      <c r="I109" s="343"/>
      <c r="J109" s="343"/>
      <c r="L109" s="366">
        <f>I108-I107</f>
        <v>491612</v>
      </c>
    </row>
    <row r="110" spans="1:12" s="344" customFormat="1" x14ac:dyDescent="0.25">
      <c r="A110" s="342"/>
      <c r="B110" s="350"/>
      <c r="C110" s="343"/>
      <c r="D110" s="343"/>
      <c r="E110" s="343"/>
      <c r="F110" s="343"/>
      <c r="G110" s="343"/>
      <c r="H110" s="343"/>
      <c r="I110" s="343"/>
      <c r="J110" s="343"/>
    </row>
    <row r="111" spans="1:12" s="344" customFormat="1" x14ac:dyDescent="0.25">
      <c r="A111" s="342"/>
      <c r="B111" s="350"/>
      <c r="C111" s="343"/>
      <c r="D111" s="343"/>
      <c r="E111" s="343"/>
      <c r="F111" s="343"/>
      <c r="G111" s="343"/>
      <c r="H111" s="343"/>
      <c r="I111" s="343"/>
      <c r="J111" s="343"/>
    </row>
    <row r="112" spans="1:12" s="367" customFormat="1" ht="12.75" x14ac:dyDescent="0.2">
      <c r="B112" s="368"/>
      <c r="D112" s="369"/>
      <c r="G112" s="369"/>
      <c r="I112" s="370"/>
      <c r="J112" s="371"/>
    </row>
    <row r="113" spans="1:10" s="367" customFormat="1" ht="12.75" x14ac:dyDescent="0.2">
      <c r="B113" s="368"/>
      <c r="D113" s="369"/>
      <c r="G113" s="369"/>
      <c r="I113" s="369"/>
      <c r="J113" s="371"/>
    </row>
    <row r="114" spans="1:10" s="367" customFormat="1" ht="12.75" x14ac:dyDescent="0.2">
      <c r="B114" s="368"/>
      <c r="C114" s="369"/>
      <c r="D114" s="369"/>
      <c r="E114" s="372"/>
      <c r="F114" s="372"/>
      <c r="G114" s="372"/>
      <c r="H114" s="372"/>
      <c r="I114" s="373"/>
      <c r="J114" s="371"/>
    </row>
    <row r="115" spans="1:10" s="367" customFormat="1" ht="12.75" x14ac:dyDescent="0.2">
      <c r="B115" s="368"/>
      <c r="C115" s="369"/>
      <c r="D115" s="369"/>
      <c r="E115" s="369"/>
      <c r="F115" s="369"/>
      <c r="G115" s="369"/>
      <c r="H115" s="369"/>
      <c r="I115" s="369"/>
      <c r="J115" s="371"/>
    </row>
    <row r="116" spans="1:10" s="367" customFormat="1" ht="12.75" x14ac:dyDescent="0.2">
      <c r="B116" s="374"/>
      <c r="C116" s="369"/>
      <c r="D116" s="369"/>
      <c r="E116" s="372"/>
      <c r="F116" s="372"/>
      <c r="G116" s="368"/>
      <c r="H116" s="372"/>
      <c r="I116" s="369"/>
      <c r="J116" s="371"/>
    </row>
    <row r="117" spans="1:10" s="367" customFormat="1" ht="12.75" x14ac:dyDescent="0.2">
      <c r="B117" s="368"/>
      <c r="C117" s="369"/>
      <c r="D117" s="369"/>
      <c r="E117" s="372"/>
      <c r="F117" s="372"/>
      <c r="G117" s="368"/>
      <c r="H117" s="372"/>
      <c r="I117" s="369"/>
      <c r="J117" s="371"/>
    </row>
    <row r="118" spans="1:10" x14ac:dyDescent="0.25">
      <c r="A118" s="375"/>
      <c r="B118" s="90"/>
      <c r="C118" s="90"/>
      <c r="D118" s="147"/>
      <c r="E118" s="150"/>
      <c r="F118" s="150"/>
      <c r="G118" s="150"/>
      <c r="H118" s="150"/>
      <c r="I118" s="152"/>
      <c r="J118" s="90"/>
    </row>
    <row r="119" spans="1:10" x14ac:dyDescent="0.25">
      <c r="A119" s="375"/>
      <c r="B119" s="90"/>
      <c r="C119" s="90"/>
      <c r="D119" s="147"/>
      <c r="E119" s="150"/>
      <c r="F119" s="150"/>
      <c r="G119" s="150"/>
      <c r="H119" s="90"/>
      <c r="I119" s="90"/>
      <c r="J119" s="90"/>
    </row>
    <row r="120" spans="1:10" x14ac:dyDescent="0.25">
      <c r="A120" s="375"/>
      <c r="B120" s="90"/>
      <c r="C120" s="90"/>
      <c r="D120" s="147"/>
      <c r="E120" s="150"/>
      <c r="F120" s="150"/>
      <c r="G120" s="150"/>
      <c r="H120" s="90"/>
      <c r="I120" s="90"/>
      <c r="J120" s="90"/>
    </row>
    <row r="121" spans="1:10" x14ac:dyDescent="0.25">
      <c r="A121" s="375"/>
      <c r="B121" s="90"/>
      <c r="C121" s="90"/>
      <c r="D121" s="166"/>
      <c r="E121" s="150"/>
      <c r="F121" s="150"/>
      <c r="G121" s="150"/>
      <c r="H121" s="90"/>
      <c r="I121" s="90"/>
      <c r="J121" s="90"/>
    </row>
    <row r="122" spans="1:10" x14ac:dyDescent="0.25">
      <c r="A122" s="375"/>
      <c r="B122" s="90"/>
      <c r="C122" s="90"/>
      <c r="D122" s="147"/>
      <c r="E122" s="150"/>
      <c r="F122" s="150"/>
      <c r="G122" s="150"/>
      <c r="H122" s="90"/>
      <c r="I122" s="90"/>
      <c r="J122" s="90"/>
    </row>
    <row r="123" spans="1:10" x14ac:dyDescent="0.25">
      <c r="A123" s="375"/>
      <c r="B123" s="90"/>
      <c r="C123" s="90"/>
      <c r="D123" s="147"/>
      <c r="E123" s="150"/>
      <c r="F123" s="90"/>
      <c r="G123" s="90"/>
      <c r="H123" s="90"/>
      <c r="I123" s="90"/>
      <c r="J123" s="90"/>
    </row>
    <row r="124" spans="1:10" x14ac:dyDescent="0.25">
      <c r="A124" s="375"/>
      <c r="B124" s="90"/>
      <c r="C124" s="90"/>
      <c r="D124" s="147"/>
      <c r="E124" s="150"/>
      <c r="F124" s="90"/>
      <c r="G124" s="90"/>
      <c r="H124" s="90"/>
      <c r="I124" s="90"/>
      <c r="J124" s="90"/>
    </row>
    <row r="125" spans="1:10" x14ac:dyDescent="0.25">
      <c r="A125" s="375"/>
      <c r="B125" s="100"/>
      <c r="C125" s="90"/>
      <c r="D125" s="147"/>
      <c r="E125" s="150"/>
      <c r="F125" s="150"/>
      <c r="G125" s="150"/>
      <c r="H125" s="90"/>
      <c r="I125" s="376"/>
      <c r="J125" s="90"/>
    </row>
    <row r="126" spans="1:10" x14ac:dyDescent="0.25">
      <c r="A126" s="375"/>
      <c r="B126" s="147"/>
      <c r="C126" s="90"/>
      <c r="D126" s="147"/>
      <c r="E126" s="150"/>
      <c r="F126" s="150"/>
      <c r="G126" s="150"/>
      <c r="H126" s="90"/>
      <c r="I126" s="377"/>
      <c r="J126" s="90"/>
    </row>
    <row r="127" spans="1:10" x14ac:dyDescent="0.25">
      <c r="A127" s="375"/>
      <c r="B127" s="166"/>
      <c r="C127" s="90"/>
      <c r="D127" s="90"/>
      <c r="E127" s="90"/>
      <c r="F127" s="90"/>
      <c r="G127" s="90"/>
      <c r="H127" s="90"/>
      <c r="I127" s="90"/>
      <c r="J127" s="90"/>
    </row>
    <row r="128" spans="1:10" x14ac:dyDescent="0.25">
      <c r="A128" s="375"/>
      <c r="B128" s="166"/>
      <c r="C128" s="90"/>
      <c r="D128" s="90"/>
      <c r="E128" s="90"/>
      <c r="F128" s="90"/>
      <c r="G128" s="90"/>
      <c r="H128" s="90"/>
      <c r="I128" s="90"/>
      <c r="J128" s="90"/>
    </row>
    <row r="129" spans="1:12" x14ac:dyDescent="0.25">
      <c r="A129" s="375"/>
      <c r="B129" s="166"/>
      <c r="C129" s="90"/>
      <c r="D129" s="90"/>
      <c r="E129" s="90"/>
      <c r="F129" s="90"/>
      <c r="G129" s="90"/>
      <c r="H129" s="90"/>
      <c r="I129" s="90"/>
      <c r="J129" s="90"/>
    </row>
    <row r="130" spans="1:12" x14ac:dyDescent="0.25">
      <c r="A130" s="375"/>
      <c r="B130" s="166"/>
      <c r="C130" s="90"/>
      <c r="D130" s="90"/>
      <c r="E130" s="90"/>
      <c r="F130" s="90"/>
      <c r="G130" s="90"/>
      <c r="H130" s="90"/>
      <c r="I130" s="90"/>
      <c r="J130" s="90"/>
    </row>
    <row r="131" spans="1:12" x14ac:dyDescent="0.25">
      <c r="A131" s="375"/>
      <c r="B131" s="166"/>
      <c r="C131" s="90"/>
      <c r="D131" s="90"/>
      <c r="E131" s="90"/>
      <c r="F131" s="90"/>
      <c r="G131" s="90"/>
      <c r="H131" s="150"/>
      <c r="I131" s="90"/>
      <c r="J131" s="152"/>
      <c r="K131" s="378"/>
    </row>
    <row r="132" spans="1:12" x14ac:dyDescent="0.25">
      <c r="A132" s="375"/>
      <c r="B132" s="166"/>
      <c r="C132" s="90"/>
      <c r="D132" s="90"/>
      <c r="E132" s="90"/>
      <c r="F132" s="90"/>
      <c r="G132" s="90"/>
      <c r="H132" s="100"/>
      <c r="I132" s="90"/>
      <c r="J132" s="152"/>
    </row>
    <row r="133" spans="1:12" x14ac:dyDescent="0.25">
      <c r="A133" s="375"/>
      <c r="B133" s="90"/>
      <c r="C133" s="90"/>
      <c r="D133" s="90"/>
      <c r="E133" s="90"/>
      <c r="F133" s="90"/>
      <c r="G133" s="90"/>
      <c r="H133" s="100"/>
      <c r="I133" s="379"/>
      <c r="J133" s="90"/>
    </row>
    <row r="134" spans="1:12" x14ac:dyDescent="0.25">
      <c r="A134" s="375"/>
      <c r="B134" s="90"/>
      <c r="C134" s="90"/>
      <c r="D134" s="90"/>
      <c r="E134" s="90"/>
      <c r="F134" s="90"/>
      <c r="G134" s="90"/>
      <c r="H134" s="90"/>
      <c r="I134" s="90"/>
      <c r="J134" s="90"/>
    </row>
    <row r="135" spans="1:12" x14ac:dyDescent="0.25">
      <c r="A135" s="375"/>
      <c r="B135" s="90"/>
      <c r="C135" s="90"/>
      <c r="D135" s="90"/>
      <c r="E135" s="90"/>
      <c r="F135" s="90"/>
      <c r="G135" s="90"/>
      <c r="H135" s="90"/>
      <c r="I135" s="152"/>
      <c r="J135" s="90"/>
    </row>
    <row r="136" spans="1:12" x14ac:dyDescent="0.25">
      <c r="A136" s="375"/>
      <c r="B136" s="90"/>
      <c r="C136" s="90"/>
      <c r="D136" s="90"/>
      <c r="E136" s="90"/>
      <c r="F136" s="90"/>
      <c r="G136" s="90"/>
      <c r="H136" s="90"/>
      <c r="I136" s="90"/>
      <c r="J136" s="90"/>
    </row>
    <row r="137" spans="1:12" x14ac:dyDescent="0.25">
      <c r="A137" s="90"/>
      <c r="B137" s="90"/>
      <c r="C137" s="90"/>
      <c r="D137" s="90"/>
      <c r="E137" s="90"/>
      <c r="F137" s="90"/>
      <c r="G137" s="90"/>
      <c r="H137" s="90"/>
      <c r="I137" s="90"/>
      <c r="J137" s="90"/>
    </row>
    <row r="138" spans="1:12" x14ac:dyDescent="0.25">
      <c r="A138" s="90"/>
      <c r="B138" s="90"/>
      <c r="C138" s="90"/>
      <c r="D138" s="90"/>
      <c r="E138" s="90"/>
      <c r="F138" s="90"/>
      <c r="G138" s="90"/>
      <c r="H138" s="90"/>
      <c r="I138" s="90"/>
      <c r="J138" s="90"/>
    </row>
    <row r="139" spans="1:12" x14ac:dyDescent="0.25">
      <c r="A139" s="90"/>
      <c r="B139" s="90"/>
      <c r="C139" s="90"/>
      <c r="D139" s="90"/>
      <c r="E139" s="90"/>
      <c r="F139" s="90"/>
      <c r="G139" s="90"/>
      <c r="H139" s="90"/>
      <c r="I139" s="90"/>
      <c r="J139" s="90"/>
      <c r="K139" s="90"/>
      <c r="L139" s="90"/>
    </row>
    <row r="140" spans="1:12" x14ac:dyDescent="0.25">
      <c r="A140" s="90"/>
      <c r="B140" s="90"/>
      <c r="C140" s="90"/>
      <c r="D140" s="90"/>
      <c r="E140" s="90"/>
      <c r="F140" s="90"/>
      <c r="G140" s="90"/>
      <c r="H140" s="90"/>
      <c r="I140" s="90"/>
      <c r="J140" s="90"/>
      <c r="K140" s="90"/>
      <c r="L140" s="90"/>
    </row>
    <row r="141" spans="1:12" x14ac:dyDescent="0.25">
      <c r="A141" s="90"/>
      <c r="B141" s="100"/>
      <c r="C141" s="90"/>
      <c r="D141" s="100"/>
      <c r="E141" s="100"/>
      <c r="F141" s="90"/>
      <c r="G141" s="100"/>
      <c r="H141" s="90"/>
      <c r="I141" s="90"/>
      <c r="J141" s="90"/>
      <c r="K141" s="90"/>
      <c r="L141" s="90"/>
    </row>
    <row r="142" spans="1:12" x14ac:dyDescent="0.25">
      <c r="A142" s="90"/>
      <c r="B142" s="100"/>
      <c r="C142" s="90"/>
      <c r="D142" s="100"/>
      <c r="E142" s="100"/>
      <c r="F142" s="90"/>
      <c r="G142" s="380"/>
      <c r="H142" s="90"/>
      <c r="I142" s="90"/>
      <c r="J142" s="90"/>
      <c r="K142" s="90"/>
      <c r="L142" s="90"/>
    </row>
    <row r="143" spans="1:12" x14ac:dyDescent="0.25">
      <c r="A143" s="90"/>
      <c r="B143" s="100"/>
      <c r="C143" s="90"/>
      <c r="D143" s="100"/>
      <c r="E143" s="100"/>
      <c r="F143" s="90"/>
      <c r="G143" s="380"/>
      <c r="H143" s="90"/>
      <c r="I143" s="90"/>
      <c r="J143" s="90"/>
      <c r="K143" s="90"/>
      <c r="L143" s="90"/>
    </row>
    <row r="144" spans="1:12" x14ac:dyDescent="0.25">
      <c r="A144" s="90"/>
      <c r="B144" s="90"/>
      <c r="C144" s="90"/>
      <c r="D144" s="90"/>
      <c r="E144" s="90"/>
      <c r="F144" s="90"/>
      <c r="G144" s="90"/>
      <c r="H144" s="90"/>
      <c r="I144" s="90"/>
      <c r="J144" s="90"/>
      <c r="K144" s="90"/>
      <c r="L144" s="90"/>
    </row>
    <row r="145" spans="1:12" x14ac:dyDescent="0.25">
      <c r="A145" s="170"/>
      <c r="B145" s="90"/>
      <c r="C145" s="90"/>
      <c r="D145" s="90"/>
      <c r="E145" s="90"/>
      <c r="F145" s="101"/>
      <c r="G145" s="170"/>
      <c r="H145" s="100"/>
      <c r="I145" s="90"/>
      <c r="J145" s="90"/>
      <c r="K145" s="90"/>
      <c r="L145" s="90"/>
    </row>
    <row r="146" spans="1:12" x14ac:dyDescent="0.25">
      <c r="A146" s="147"/>
      <c r="B146" s="90"/>
      <c r="C146" s="90"/>
      <c r="D146" s="90"/>
      <c r="E146" s="90"/>
      <c r="F146" s="90"/>
      <c r="G146" s="90"/>
      <c r="H146" s="90"/>
      <c r="I146" s="90"/>
      <c r="J146" s="90"/>
      <c r="K146" s="90"/>
      <c r="L146" s="90"/>
    </row>
    <row r="147" spans="1:12" x14ac:dyDescent="0.25">
      <c r="A147" s="90"/>
      <c r="B147" s="90"/>
      <c r="C147" s="90"/>
      <c r="D147" s="90"/>
      <c r="E147" s="90"/>
      <c r="F147" s="90"/>
      <c r="G147" s="90"/>
      <c r="H147" s="90"/>
      <c r="I147" s="90"/>
      <c r="J147" s="90"/>
      <c r="K147" s="90"/>
      <c r="L147" s="90"/>
    </row>
    <row r="148" spans="1:12" x14ac:dyDescent="0.25">
      <c r="A148" s="147"/>
      <c r="B148" s="90"/>
      <c r="C148" s="90"/>
      <c r="D148" s="90"/>
      <c r="E148" s="90"/>
      <c r="F148" s="90"/>
      <c r="G148" s="90"/>
      <c r="H148" s="90"/>
      <c r="I148" s="90"/>
      <c r="J148" s="90"/>
      <c r="K148" s="90"/>
      <c r="L148" s="90"/>
    </row>
    <row r="149" spans="1:12" x14ac:dyDescent="0.25">
      <c r="A149" s="90"/>
      <c r="B149" s="90"/>
      <c r="C149" s="90"/>
      <c r="D149" s="90"/>
      <c r="E149" s="90"/>
      <c r="F149" s="90"/>
      <c r="G149" s="90"/>
      <c r="H149" s="90"/>
      <c r="I149" s="90"/>
      <c r="J149" s="90"/>
      <c r="K149" s="90"/>
      <c r="L149" s="90"/>
    </row>
    <row r="150" spans="1:12" x14ac:dyDescent="0.25">
      <c r="A150" s="90"/>
      <c r="B150" s="90"/>
      <c r="C150" s="90"/>
      <c r="D150" s="90"/>
      <c r="E150" s="90"/>
      <c r="F150" s="90"/>
      <c r="G150" s="90"/>
      <c r="H150" s="90"/>
      <c r="I150" s="90"/>
      <c r="J150" s="90"/>
      <c r="K150" s="90"/>
      <c r="L150" s="90"/>
    </row>
    <row r="151" spans="1:12" x14ac:dyDescent="0.25">
      <c r="A151" s="375"/>
      <c r="B151" s="147"/>
      <c r="C151" s="90"/>
      <c r="D151" s="90"/>
      <c r="E151" s="90"/>
      <c r="F151" s="90"/>
      <c r="G151" s="90"/>
      <c r="H151" s="90"/>
      <c r="I151" s="90"/>
      <c r="J151" s="90"/>
      <c r="K151" s="90"/>
      <c r="L151" s="90"/>
    </row>
    <row r="152" spans="1:12" x14ac:dyDescent="0.25">
      <c r="A152" s="375"/>
      <c r="B152" s="90"/>
      <c r="C152" s="90"/>
      <c r="D152" s="90"/>
      <c r="E152" s="90"/>
      <c r="F152" s="90"/>
      <c r="G152" s="90"/>
      <c r="H152" s="150"/>
      <c r="I152" s="90"/>
      <c r="J152" s="90"/>
      <c r="K152" s="90"/>
      <c r="L152" s="90"/>
    </row>
    <row r="153" spans="1:12" x14ac:dyDescent="0.25">
      <c r="A153" s="375"/>
      <c r="B153" s="90"/>
      <c r="C153" s="90"/>
      <c r="D153" s="90"/>
      <c r="E153" s="90"/>
      <c r="F153" s="90"/>
      <c r="G153" s="90"/>
      <c r="H153" s="150"/>
      <c r="I153" s="90"/>
      <c r="J153" s="90"/>
      <c r="K153" s="90"/>
      <c r="L153" s="90"/>
    </row>
    <row r="154" spans="1:12" x14ac:dyDescent="0.25">
      <c r="A154" s="375"/>
      <c r="B154" s="90"/>
      <c r="C154" s="90"/>
      <c r="D154" s="90"/>
      <c r="E154" s="90"/>
      <c r="F154" s="90"/>
      <c r="G154" s="90"/>
      <c r="H154" s="150"/>
      <c r="I154" s="90"/>
      <c r="J154" s="90"/>
      <c r="K154" s="90"/>
      <c r="L154" s="90"/>
    </row>
    <row r="155" spans="1:12" x14ac:dyDescent="0.25">
      <c r="A155" s="375"/>
      <c r="B155" s="90"/>
      <c r="C155" s="90"/>
      <c r="D155" s="90"/>
      <c r="E155" s="90"/>
      <c r="F155" s="90"/>
      <c r="G155" s="90"/>
      <c r="H155" s="150"/>
      <c r="I155" s="90"/>
      <c r="J155" s="90"/>
      <c r="K155" s="90"/>
      <c r="L155" s="90"/>
    </row>
    <row r="156" spans="1:12" x14ac:dyDescent="0.25">
      <c r="A156" s="375"/>
      <c r="B156" s="90"/>
      <c r="C156" s="90"/>
      <c r="D156" s="90"/>
      <c r="E156" s="90"/>
      <c r="F156" s="90"/>
      <c r="G156" s="90"/>
      <c r="H156" s="90"/>
      <c r="I156" s="90"/>
      <c r="J156" s="90"/>
      <c r="K156" s="90"/>
      <c r="L156" s="90"/>
    </row>
    <row r="157" spans="1:12" x14ac:dyDescent="0.25">
      <c r="A157" s="375"/>
      <c r="B157" s="90"/>
      <c r="C157" s="90"/>
      <c r="D157" s="90"/>
      <c r="E157" s="90"/>
      <c r="F157" s="90"/>
      <c r="G157" s="90"/>
      <c r="H157" s="150"/>
      <c r="I157" s="90"/>
      <c r="J157" s="90"/>
      <c r="K157" s="90"/>
      <c r="L157" s="90"/>
    </row>
    <row r="158" spans="1:12" x14ac:dyDescent="0.25">
      <c r="A158" s="375"/>
      <c r="B158" s="90"/>
      <c r="C158" s="90"/>
      <c r="D158" s="90"/>
      <c r="E158" s="90"/>
      <c r="F158" s="90"/>
      <c r="G158" s="90"/>
      <c r="H158" s="90"/>
      <c r="I158" s="90"/>
      <c r="J158" s="90"/>
      <c r="K158" s="90"/>
      <c r="L158" s="90"/>
    </row>
    <row r="159" spans="1:12" x14ac:dyDescent="0.25">
      <c r="A159" s="375"/>
      <c r="B159" s="90"/>
      <c r="C159" s="90"/>
      <c r="D159" s="90"/>
      <c r="E159" s="90"/>
      <c r="F159" s="90"/>
      <c r="G159" s="90"/>
      <c r="H159" s="150"/>
      <c r="I159" s="90"/>
      <c r="J159" s="90"/>
      <c r="K159" s="90"/>
      <c r="L159" s="90"/>
    </row>
    <row r="160" spans="1:12" x14ac:dyDescent="0.25">
      <c r="A160" s="375"/>
      <c r="B160" s="90"/>
      <c r="C160" s="90"/>
      <c r="D160" s="90"/>
      <c r="E160" s="90"/>
      <c r="F160" s="90"/>
      <c r="G160" s="90"/>
      <c r="H160" s="90"/>
      <c r="I160" s="90"/>
      <c r="J160" s="90"/>
      <c r="K160" s="90"/>
      <c r="L160" s="90"/>
    </row>
    <row r="161" spans="1:12" x14ac:dyDescent="0.25">
      <c r="A161" s="375"/>
      <c r="B161" s="90"/>
      <c r="C161" s="90"/>
      <c r="D161" s="90"/>
      <c r="E161" s="90"/>
      <c r="F161" s="90"/>
      <c r="G161" s="90"/>
      <c r="H161" s="150"/>
      <c r="I161" s="90"/>
      <c r="J161" s="90"/>
      <c r="K161" s="90"/>
      <c r="L161" s="90"/>
    </row>
    <row r="162" spans="1:12" x14ac:dyDescent="0.25">
      <c r="A162" s="375"/>
      <c r="B162" s="90"/>
      <c r="C162" s="90"/>
      <c r="D162" s="90"/>
      <c r="E162" s="90"/>
      <c r="F162" s="90"/>
      <c r="G162" s="90"/>
      <c r="H162" s="90"/>
      <c r="I162" s="90"/>
      <c r="J162" s="90"/>
      <c r="K162" s="90"/>
      <c r="L162" s="90"/>
    </row>
    <row r="163" spans="1:12" x14ac:dyDescent="0.25">
      <c r="A163" s="375"/>
      <c r="B163" s="90"/>
      <c r="C163" s="90"/>
      <c r="D163" s="90"/>
      <c r="E163" s="90"/>
      <c r="F163" s="90"/>
      <c r="G163" s="90"/>
      <c r="H163" s="150"/>
      <c r="I163" s="90"/>
      <c r="J163" s="90"/>
      <c r="K163" s="90"/>
      <c r="L163" s="90"/>
    </row>
    <row r="164" spans="1:12" x14ac:dyDescent="0.25">
      <c r="A164" s="375"/>
      <c r="B164" s="90"/>
      <c r="C164" s="90"/>
      <c r="D164" s="90"/>
      <c r="E164" s="90"/>
      <c r="F164" s="90"/>
      <c r="G164" s="90"/>
      <c r="H164" s="90"/>
      <c r="I164" s="90"/>
      <c r="J164" s="90"/>
      <c r="K164" s="90"/>
      <c r="L164" s="90"/>
    </row>
    <row r="165" spans="1:12" x14ac:dyDescent="0.25">
      <c r="A165" s="375"/>
      <c r="B165" s="147"/>
      <c r="C165" s="90"/>
      <c r="D165" s="90"/>
      <c r="E165" s="90"/>
      <c r="F165" s="90"/>
      <c r="G165" s="90"/>
      <c r="H165" s="90"/>
      <c r="I165" s="90"/>
      <c r="J165" s="90"/>
      <c r="K165" s="90"/>
      <c r="L165" s="90"/>
    </row>
    <row r="166" spans="1:12" x14ac:dyDescent="0.25">
      <c r="A166" s="375"/>
      <c r="B166" s="147"/>
      <c r="C166" s="90"/>
      <c r="D166" s="90"/>
      <c r="E166" s="381"/>
      <c r="F166" s="90"/>
      <c r="G166" s="90"/>
      <c r="H166" s="150"/>
      <c r="I166" s="90"/>
      <c r="J166" s="90"/>
      <c r="K166" s="90"/>
      <c r="L166" s="90"/>
    </row>
    <row r="167" spans="1:12" x14ac:dyDescent="0.25">
      <c r="A167" s="375"/>
      <c r="B167" s="147"/>
      <c r="C167" s="90"/>
      <c r="D167" s="90"/>
      <c r="E167" s="90"/>
      <c r="F167" s="90"/>
      <c r="G167" s="90"/>
      <c r="H167" s="150"/>
      <c r="I167" s="90"/>
      <c r="J167" s="90"/>
      <c r="K167" s="90"/>
      <c r="L167" s="90"/>
    </row>
    <row r="168" spans="1:12" x14ac:dyDescent="0.25">
      <c r="A168" s="375"/>
      <c r="B168" s="90"/>
      <c r="C168" s="90"/>
      <c r="D168" s="90"/>
      <c r="E168" s="90"/>
      <c r="F168" s="90"/>
      <c r="G168" s="90"/>
      <c r="H168" s="90"/>
      <c r="I168" s="90"/>
      <c r="J168" s="90"/>
      <c r="K168" s="90"/>
      <c r="L168" s="90"/>
    </row>
    <row r="169" spans="1:12" x14ac:dyDescent="0.25">
      <c r="A169" s="375"/>
      <c r="B169" s="147"/>
      <c r="C169" s="90"/>
      <c r="D169" s="90"/>
      <c r="E169" s="90"/>
      <c r="F169" s="90"/>
      <c r="G169" s="90"/>
      <c r="H169" s="150"/>
      <c r="I169" s="90"/>
      <c r="J169" s="90"/>
      <c r="K169" s="90"/>
      <c r="L169" s="90"/>
    </row>
    <row r="170" spans="1:12" x14ac:dyDescent="0.25">
      <c r="A170" s="375"/>
      <c r="B170" s="90"/>
      <c r="C170" s="90"/>
      <c r="D170" s="90"/>
      <c r="E170" s="90"/>
      <c r="F170" s="90"/>
      <c r="G170" s="90"/>
      <c r="H170" s="90"/>
      <c r="I170" s="90"/>
      <c r="J170" s="90"/>
      <c r="K170" s="90"/>
      <c r="L170" s="90"/>
    </row>
    <row r="171" spans="1:12" x14ac:dyDescent="0.25">
      <c r="A171" s="375"/>
      <c r="B171" s="90"/>
      <c r="C171" s="90"/>
      <c r="D171" s="90"/>
      <c r="E171" s="90"/>
      <c r="F171" s="90"/>
      <c r="G171" s="90"/>
      <c r="H171" s="150"/>
      <c r="I171" s="90"/>
      <c r="J171" s="90"/>
      <c r="K171" s="90"/>
      <c r="L171" s="90"/>
    </row>
    <row r="172" spans="1:12" x14ac:dyDescent="0.25">
      <c r="A172" s="375"/>
      <c r="B172" s="90"/>
      <c r="C172" s="90"/>
      <c r="D172" s="90"/>
      <c r="E172" s="90"/>
      <c r="F172" s="90"/>
      <c r="G172" s="90"/>
      <c r="H172" s="150"/>
      <c r="I172" s="90"/>
      <c r="J172" s="90"/>
      <c r="K172" s="90"/>
      <c r="L172" s="90"/>
    </row>
    <row r="173" spans="1:12" x14ac:dyDescent="0.25">
      <c r="A173" s="375"/>
      <c r="B173" s="147"/>
      <c r="C173" s="90"/>
      <c r="D173" s="90"/>
      <c r="E173" s="90"/>
      <c r="F173" s="90"/>
      <c r="G173" s="90"/>
      <c r="H173" s="150"/>
      <c r="I173" s="90"/>
      <c r="J173" s="90"/>
      <c r="K173" s="90"/>
      <c r="L173" s="90"/>
    </row>
    <row r="174" spans="1:12" x14ac:dyDescent="0.25">
      <c r="A174" s="375"/>
      <c r="B174" s="90"/>
      <c r="C174" s="90"/>
      <c r="D174" s="90"/>
      <c r="E174" s="90"/>
      <c r="F174" s="90"/>
      <c r="G174" s="90"/>
      <c r="H174" s="90"/>
      <c r="I174" s="90"/>
      <c r="J174" s="90"/>
      <c r="K174" s="90"/>
      <c r="L174" s="90"/>
    </row>
    <row r="175" spans="1:12" x14ac:dyDescent="0.25">
      <c r="A175" s="375"/>
      <c r="B175" s="147"/>
      <c r="C175" s="90"/>
      <c r="D175" s="90"/>
      <c r="E175" s="90"/>
      <c r="F175" s="90"/>
      <c r="G175" s="90"/>
      <c r="H175" s="90"/>
      <c r="I175" s="90"/>
      <c r="J175" s="90"/>
      <c r="K175" s="90"/>
      <c r="L175" s="90"/>
    </row>
    <row r="176" spans="1:12" x14ac:dyDescent="0.25">
      <c r="A176" s="375"/>
      <c r="B176" s="90"/>
      <c r="C176" s="90"/>
      <c r="D176" s="90"/>
      <c r="E176" s="90"/>
      <c r="F176" s="90"/>
      <c r="G176" s="90"/>
      <c r="H176" s="90"/>
      <c r="I176" s="90"/>
      <c r="J176" s="90"/>
      <c r="K176" s="90"/>
      <c r="L176" s="90"/>
    </row>
    <row r="177" spans="1:12" x14ac:dyDescent="0.25">
      <c r="A177" s="375"/>
      <c r="B177" s="147"/>
      <c r="C177" s="90"/>
      <c r="D177" s="90"/>
      <c r="E177" s="90"/>
      <c r="F177" s="90"/>
      <c r="G177" s="90"/>
      <c r="H177" s="90"/>
      <c r="I177" s="90"/>
      <c r="J177" s="90"/>
      <c r="K177" s="90"/>
      <c r="L177" s="90"/>
    </row>
    <row r="178" spans="1:12" x14ac:dyDescent="0.25">
      <c r="A178" s="375"/>
      <c r="B178" s="90"/>
      <c r="C178" s="90"/>
      <c r="D178" s="90"/>
      <c r="E178" s="90"/>
      <c r="F178" s="90"/>
      <c r="G178" s="90"/>
      <c r="H178" s="90"/>
      <c r="I178" s="90"/>
      <c r="J178" s="90"/>
      <c r="K178" s="90"/>
      <c r="L178" s="90"/>
    </row>
    <row r="179" spans="1:12" x14ac:dyDescent="0.25">
      <c r="A179" s="375"/>
      <c r="B179" s="147"/>
      <c r="C179" s="90"/>
      <c r="D179" s="90"/>
      <c r="E179" s="90"/>
      <c r="F179" s="90"/>
      <c r="G179" s="90"/>
      <c r="H179" s="90"/>
      <c r="I179" s="90"/>
      <c r="J179" s="90"/>
      <c r="K179" s="90"/>
      <c r="L179" s="90"/>
    </row>
    <row r="180" spans="1:12" x14ac:dyDescent="0.25">
      <c r="A180" s="375"/>
      <c r="B180" s="90"/>
      <c r="C180" s="90"/>
      <c r="D180" s="90"/>
      <c r="E180" s="90"/>
      <c r="F180" s="90"/>
      <c r="G180" s="90"/>
      <c r="H180" s="90"/>
      <c r="I180" s="90"/>
      <c r="J180" s="90"/>
      <c r="K180" s="90"/>
      <c r="L180" s="90"/>
    </row>
    <row r="181" spans="1:12" x14ac:dyDescent="0.25">
      <c r="A181" s="375"/>
      <c r="B181" s="90"/>
      <c r="C181" s="90"/>
      <c r="D181" s="90"/>
      <c r="E181" s="90"/>
      <c r="F181" s="90"/>
      <c r="G181" s="90"/>
      <c r="H181" s="90"/>
      <c r="I181" s="90"/>
      <c r="J181" s="90"/>
      <c r="K181" s="90"/>
      <c r="L181" s="90"/>
    </row>
    <row r="182" spans="1:12" x14ac:dyDescent="0.25">
      <c r="A182" s="375"/>
      <c r="B182" s="90"/>
      <c r="C182" s="90"/>
      <c r="D182" s="90"/>
      <c r="E182" s="90"/>
      <c r="F182" s="90"/>
      <c r="G182" s="90"/>
      <c r="H182" s="90"/>
      <c r="I182" s="90"/>
      <c r="J182" s="90"/>
      <c r="K182" s="90"/>
      <c r="L182" s="90"/>
    </row>
    <row r="183" spans="1:12" x14ac:dyDescent="0.25">
      <c r="A183" s="375"/>
      <c r="B183" s="90"/>
      <c r="C183" s="90"/>
      <c r="D183" s="90"/>
      <c r="E183" s="90"/>
      <c r="F183" s="90"/>
      <c r="G183" s="90"/>
      <c r="H183" s="150"/>
      <c r="I183" s="90"/>
      <c r="J183" s="90"/>
      <c r="K183" s="90"/>
      <c r="L183" s="90"/>
    </row>
    <row r="184" spans="1:12" x14ac:dyDescent="0.25">
      <c r="A184" s="375"/>
      <c r="B184" s="90"/>
      <c r="C184" s="90"/>
      <c r="D184" s="90"/>
      <c r="E184" s="90"/>
      <c r="F184" s="90"/>
      <c r="G184" s="90"/>
      <c r="H184" s="90"/>
      <c r="I184" s="90"/>
      <c r="J184" s="90"/>
      <c r="K184" s="90"/>
      <c r="L184" s="90"/>
    </row>
    <row r="185" spans="1:12" x14ac:dyDescent="0.25">
      <c r="A185" s="375"/>
      <c r="B185" s="90"/>
      <c r="C185" s="90"/>
      <c r="D185" s="90"/>
      <c r="E185" s="90"/>
      <c r="F185" s="90"/>
      <c r="G185" s="90"/>
      <c r="H185" s="150"/>
      <c r="I185" s="90"/>
      <c r="J185" s="90"/>
      <c r="K185" s="90"/>
      <c r="L185" s="90"/>
    </row>
    <row r="186" spans="1:12" x14ac:dyDescent="0.25">
      <c r="A186" s="375"/>
      <c r="B186" s="90"/>
      <c r="C186" s="90"/>
      <c r="D186" s="90"/>
      <c r="E186" s="90"/>
      <c r="F186" s="90"/>
      <c r="G186" s="90"/>
      <c r="H186" s="90"/>
      <c r="I186" s="90"/>
      <c r="J186" s="90"/>
      <c r="K186" s="90"/>
      <c r="L186" s="90"/>
    </row>
    <row r="187" spans="1:12" x14ac:dyDescent="0.25">
      <c r="A187" s="375"/>
      <c r="B187" s="90"/>
      <c r="C187" s="90"/>
      <c r="D187" s="90"/>
      <c r="E187" s="90"/>
      <c r="F187" s="90"/>
      <c r="G187" s="90"/>
      <c r="H187" s="90"/>
      <c r="I187" s="90"/>
      <c r="J187" s="90"/>
      <c r="K187" s="90"/>
      <c r="L187" s="90"/>
    </row>
    <row r="188" spans="1:12" x14ac:dyDescent="0.25">
      <c r="A188" s="90"/>
      <c r="B188" s="90"/>
      <c r="C188" s="90"/>
      <c r="D188" s="90"/>
      <c r="E188" s="90"/>
      <c r="F188" s="90"/>
      <c r="G188" s="90"/>
      <c r="H188" s="90"/>
      <c r="I188" s="90"/>
      <c r="J188" s="90"/>
      <c r="K188" s="90"/>
      <c r="L188" s="90"/>
    </row>
    <row r="189" spans="1:12" x14ac:dyDescent="0.25">
      <c r="A189" s="375"/>
      <c r="B189" s="90"/>
      <c r="C189" s="90"/>
      <c r="D189" s="90"/>
      <c r="E189" s="90"/>
      <c r="F189" s="90"/>
      <c r="G189" s="90"/>
      <c r="H189" s="150"/>
      <c r="I189" s="90"/>
      <c r="J189" s="90"/>
      <c r="K189" s="90"/>
      <c r="L189" s="90"/>
    </row>
    <row r="190" spans="1:12" x14ac:dyDescent="0.25">
      <c r="A190" s="90"/>
      <c r="B190" s="90"/>
      <c r="C190" s="90"/>
      <c r="D190" s="90"/>
      <c r="E190" s="90"/>
      <c r="F190" s="90"/>
      <c r="G190" s="90"/>
      <c r="H190" s="90"/>
      <c r="I190" s="90"/>
      <c r="J190" s="90"/>
      <c r="K190" s="90"/>
      <c r="L190" s="90"/>
    </row>
    <row r="191" spans="1:12" x14ac:dyDescent="0.25">
      <c r="A191" s="375"/>
      <c r="B191" s="380"/>
      <c r="C191" s="90"/>
      <c r="D191" s="90"/>
      <c r="E191" s="90"/>
      <c r="F191" s="90"/>
      <c r="G191" s="90"/>
      <c r="H191" s="90"/>
      <c r="I191" s="90"/>
      <c r="J191" s="90"/>
      <c r="K191" s="90"/>
      <c r="L191" s="90"/>
    </row>
    <row r="192" spans="1:12" x14ac:dyDescent="0.25">
      <c r="A192" s="90"/>
      <c r="B192" s="90"/>
      <c r="C192" s="90"/>
      <c r="D192" s="90"/>
      <c r="E192" s="90"/>
      <c r="F192" s="90"/>
      <c r="G192" s="90"/>
      <c r="H192" s="90"/>
      <c r="I192" s="90"/>
      <c r="J192" s="90"/>
      <c r="K192" s="90"/>
      <c r="L192" s="90"/>
    </row>
    <row r="193" spans="1:12" x14ac:dyDescent="0.25">
      <c r="A193" s="90"/>
      <c r="B193" s="90"/>
      <c r="C193" s="90"/>
      <c r="D193" s="90"/>
      <c r="E193" s="90"/>
      <c r="F193" s="90"/>
      <c r="G193" s="90"/>
      <c r="H193" s="90"/>
      <c r="I193" s="90"/>
      <c r="J193" s="90"/>
      <c r="K193" s="90"/>
      <c r="L193" s="90"/>
    </row>
    <row r="194" spans="1:12" x14ac:dyDescent="0.25">
      <c r="A194" s="90"/>
      <c r="B194" s="90"/>
      <c r="C194" s="90"/>
      <c r="D194" s="90"/>
      <c r="E194" s="90"/>
      <c r="F194" s="90"/>
      <c r="G194" s="90"/>
      <c r="H194" s="90"/>
      <c r="I194" s="90"/>
      <c r="J194" s="90"/>
      <c r="K194" s="90"/>
      <c r="L194" s="90"/>
    </row>
    <row r="195" spans="1:12" x14ac:dyDescent="0.25">
      <c r="A195" s="90"/>
      <c r="B195" s="90"/>
      <c r="C195" s="90"/>
      <c r="D195" s="90"/>
      <c r="E195" s="90"/>
      <c r="F195" s="90"/>
      <c r="G195" s="90"/>
      <c r="H195" s="90"/>
      <c r="I195" s="90"/>
      <c r="J195" s="90"/>
      <c r="K195" s="90"/>
      <c r="L195" s="90"/>
    </row>
    <row r="196" spans="1:12" x14ac:dyDescent="0.25">
      <c r="A196" s="90"/>
      <c r="B196" s="90"/>
      <c r="C196" s="90"/>
      <c r="D196" s="90"/>
      <c r="E196" s="90"/>
      <c r="F196" s="90"/>
      <c r="G196" s="90"/>
      <c r="H196" s="90"/>
      <c r="I196" s="90"/>
      <c r="J196" s="90"/>
      <c r="K196" s="90"/>
      <c r="L196" s="90"/>
    </row>
    <row r="197" spans="1:12" x14ac:dyDescent="0.25">
      <c r="A197" s="90"/>
      <c r="B197" s="90"/>
      <c r="C197" s="90"/>
      <c r="D197" s="90"/>
      <c r="E197" s="90"/>
      <c r="F197" s="90"/>
      <c r="G197" s="90"/>
      <c r="H197" s="90"/>
      <c r="I197" s="90"/>
      <c r="J197" s="90"/>
      <c r="K197" s="90"/>
      <c r="L197" s="90"/>
    </row>
    <row r="198" spans="1:12" x14ac:dyDescent="0.25">
      <c r="A198" s="90"/>
      <c r="B198" s="90"/>
      <c r="C198" s="90"/>
      <c r="D198" s="90"/>
      <c r="E198" s="90"/>
      <c r="F198" s="90"/>
      <c r="G198" s="90"/>
      <c r="H198" s="90"/>
      <c r="I198" s="90"/>
      <c r="J198" s="90"/>
      <c r="K198" s="90"/>
      <c r="L198" s="90"/>
    </row>
    <row r="199" spans="1:12" x14ac:dyDescent="0.25">
      <c r="A199" s="90"/>
      <c r="B199" s="90"/>
      <c r="C199" s="90"/>
      <c r="D199" s="90"/>
      <c r="E199" s="90"/>
      <c r="F199" s="90"/>
      <c r="G199" s="90"/>
      <c r="H199" s="90"/>
      <c r="I199" s="90"/>
      <c r="J199" s="90"/>
      <c r="K199" s="90"/>
      <c r="L199" s="90"/>
    </row>
    <row r="200" spans="1:12" x14ac:dyDescent="0.25">
      <c r="A200" s="90"/>
      <c r="B200" s="90"/>
      <c r="C200" s="90"/>
      <c r="D200" s="90"/>
      <c r="E200" s="90"/>
      <c r="F200" s="90"/>
      <c r="G200" s="90"/>
      <c r="H200" s="90"/>
      <c r="I200" s="90"/>
      <c r="J200" s="90"/>
      <c r="K200" s="90"/>
      <c r="L200" s="90"/>
    </row>
    <row r="201" spans="1:12" x14ac:dyDescent="0.25">
      <c r="A201" s="90"/>
      <c r="B201" s="90"/>
      <c r="C201" s="90"/>
      <c r="D201" s="90"/>
      <c r="E201" s="90"/>
      <c r="F201" s="90"/>
      <c r="G201" s="90"/>
      <c r="H201" s="90"/>
      <c r="I201" s="90"/>
      <c r="J201" s="90"/>
      <c r="K201" s="90"/>
      <c r="L201" s="90"/>
    </row>
    <row r="202" spans="1:12" x14ac:dyDescent="0.25">
      <c r="A202" s="90"/>
      <c r="B202" s="90"/>
      <c r="C202" s="90"/>
      <c r="D202" s="90"/>
      <c r="E202" s="90"/>
      <c r="F202" s="90"/>
      <c r="G202" s="90"/>
      <c r="H202" s="90"/>
      <c r="I202" s="90"/>
      <c r="J202" s="90"/>
      <c r="K202" s="90"/>
      <c r="L202" s="90"/>
    </row>
    <row r="203" spans="1:12" x14ac:dyDescent="0.25">
      <c r="A203" s="90"/>
      <c r="B203" s="90"/>
      <c r="C203" s="90"/>
      <c r="D203" s="90"/>
      <c r="E203" s="90"/>
      <c r="F203" s="90"/>
      <c r="G203" s="90"/>
      <c r="H203" s="90"/>
      <c r="I203" s="90"/>
      <c r="J203" s="90"/>
      <c r="K203" s="90"/>
      <c r="L203" s="90"/>
    </row>
    <row r="204" spans="1:12" x14ac:dyDescent="0.25">
      <c r="A204" s="90"/>
      <c r="B204" s="90"/>
      <c r="C204" s="90"/>
      <c r="D204" s="90"/>
      <c r="E204" s="90"/>
      <c r="F204" s="90"/>
      <c r="G204" s="90"/>
      <c r="H204" s="90"/>
      <c r="I204" s="90"/>
      <c r="J204" s="90"/>
      <c r="K204" s="90"/>
      <c r="L204" s="90"/>
    </row>
    <row r="205" spans="1:12" x14ac:dyDescent="0.25">
      <c r="A205" s="90"/>
      <c r="B205" s="90"/>
      <c r="C205" s="90"/>
      <c r="D205" s="90"/>
      <c r="E205" s="90"/>
      <c r="F205" s="90"/>
      <c r="G205" s="90"/>
      <c r="H205" s="90"/>
      <c r="I205" s="90"/>
      <c r="J205" s="90"/>
      <c r="K205" s="90"/>
      <c r="L205" s="90"/>
    </row>
    <row r="206" spans="1:12" x14ac:dyDescent="0.25">
      <c r="A206" s="90"/>
      <c r="B206" s="90"/>
      <c r="C206" s="90"/>
      <c r="D206" s="90"/>
      <c r="E206" s="90"/>
      <c r="F206" s="90"/>
      <c r="G206" s="90"/>
      <c r="H206" s="90"/>
      <c r="I206" s="90"/>
      <c r="J206" s="90"/>
      <c r="K206" s="90"/>
      <c r="L206" s="90"/>
    </row>
    <row r="207" spans="1:12" x14ac:dyDescent="0.25">
      <c r="A207" s="90"/>
      <c r="B207" s="90"/>
      <c r="C207" s="90"/>
      <c r="D207" s="90"/>
      <c r="E207" s="90"/>
      <c r="F207" s="90"/>
      <c r="G207" s="90"/>
      <c r="H207" s="90"/>
      <c r="I207" s="90"/>
      <c r="J207" s="90"/>
      <c r="K207" s="90"/>
      <c r="L207" s="90"/>
    </row>
    <row r="208" spans="1:12" x14ac:dyDescent="0.25">
      <c r="A208" s="90"/>
      <c r="B208" s="90"/>
      <c r="C208" s="90"/>
      <c r="D208" s="90"/>
      <c r="E208" s="90"/>
      <c r="F208" s="90"/>
      <c r="G208" s="90"/>
      <c r="H208" s="90"/>
      <c r="I208" s="90"/>
      <c r="J208" s="90"/>
      <c r="K208" s="90"/>
      <c r="L208" s="90"/>
    </row>
    <row r="209" spans="1:12" x14ac:dyDescent="0.25">
      <c r="A209" s="90"/>
      <c r="B209" s="90"/>
      <c r="C209" s="90"/>
      <c r="D209" s="90"/>
      <c r="E209" s="90"/>
      <c r="F209" s="90"/>
      <c r="G209" s="90"/>
      <c r="H209" s="90"/>
      <c r="I209" s="90"/>
      <c r="J209" s="90"/>
      <c r="K209" s="90"/>
      <c r="L209" s="90"/>
    </row>
    <row r="210" spans="1:12" x14ac:dyDescent="0.25">
      <c r="A210" s="90"/>
      <c r="B210" s="90"/>
      <c r="C210" s="90"/>
      <c r="D210" s="90"/>
      <c r="E210" s="90"/>
      <c r="F210" s="90"/>
      <c r="G210" s="90"/>
      <c r="H210" s="90"/>
      <c r="I210" s="90"/>
      <c r="J210" s="90"/>
      <c r="K210" s="90"/>
      <c r="L210" s="90"/>
    </row>
    <row r="211" spans="1:12" x14ac:dyDescent="0.25">
      <c r="A211" s="90"/>
      <c r="B211" s="90"/>
      <c r="C211" s="90"/>
      <c r="D211" s="90"/>
      <c r="E211" s="90"/>
      <c r="F211" s="90"/>
      <c r="G211" s="90"/>
      <c r="H211" s="90"/>
      <c r="I211" s="90"/>
      <c r="J211" s="90"/>
      <c r="K211" s="90"/>
      <c r="L211" s="90"/>
    </row>
  </sheetData>
  <mergeCells count="28">
    <mergeCell ref="B54:E54"/>
    <mergeCell ref="D37:E37"/>
    <mergeCell ref="A48:I48"/>
    <mergeCell ref="A49:I49"/>
    <mergeCell ref="A50:G50"/>
    <mergeCell ref="B52:F52"/>
    <mergeCell ref="B88:C88"/>
    <mergeCell ref="B61:E61"/>
    <mergeCell ref="B64:E64"/>
    <mergeCell ref="B67:E67"/>
    <mergeCell ref="B69:E69"/>
    <mergeCell ref="B71:E71"/>
    <mergeCell ref="B75:E75"/>
    <mergeCell ref="B80:E80"/>
    <mergeCell ref="B82:E82"/>
    <mergeCell ref="B84:E84"/>
    <mergeCell ref="B86:E86"/>
    <mergeCell ref="B87:C87"/>
    <mergeCell ref="B101:E101"/>
    <mergeCell ref="B102:E102"/>
    <mergeCell ref="B103:E103"/>
    <mergeCell ref="B107:E107"/>
    <mergeCell ref="B90:E90"/>
    <mergeCell ref="B91:C91"/>
    <mergeCell ref="B92:C92"/>
    <mergeCell ref="B96:E96"/>
    <mergeCell ref="B97:C97"/>
    <mergeCell ref="B98:E9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SSR</vt:lpstr>
      <vt:lpstr>CI specials</vt:lpstr>
      <vt:lpstr>RAM</vt:lpstr>
      <vt:lpstr>Lead</vt:lpstr>
      <vt:lpstr>Data</vt:lpstr>
      <vt:lpstr>Hyd designs</vt:lpstr>
      <vt:lpstr>Design</vt:lpstr>
      <vt:lpstr>Valve chambers</vt:lpstr>
      <vt:lpstr>Intakewell-canal</vt:lpstr>
      <vt:lpstr>Intakewell-SSt</vt:lpstr>
      <vt:lpstr>SS Tank</vt:lpstr>
      <vt:lpstr>RSF</vt:lpstr>
      <vt:lpstr>Pump House</vt:lpstr>
      <vt:lpstr>WQ</vt:lpstr>
      <vt:lpstr>GLBR flat</vt:lpstr>
      <vt:lpstr>GLBR Dome</vt:lpstr>
      <vt:lpstr>Sump 40kl Flat</vt:lpstr>
      <vt:lpstr>Sump 60kl Flat</vt:lpstr>
      <vt:lpstr>Sump Dome</vt:lpstr>
      <vt:lpstr>Single column</vt:lpstr>
      <vt:lpstr>Sump rec</vt:lpstr>
      <vt:lpstr>C well</vt:lpstr>
      <vt:lpstr>Staircase</vt:lpstr>
      <vt:lpstr>Shaft type</vt:lpstr>
      <vt:lpstr>OHBR-Col</vt:lpstr>
      <vt:lpstr>OHSR Lit</vt:lpstr>
      <vt:lpstr>VC 80</vt:lpstr>
      <vt:lpstr>VC 200</vt:lpstr>
      <vt:lpstr>VC 450</vt:lpstr>
      <vt:lpstr>VC 600</vt:lpstr>
      <vt:lpstr>VC 700</vt:lpstr>
      <vt:lpstr>VC 1000</vt:lpstr>
      <vt:lpstr>Sheet6</vt:lpstr>
      <vt:lpstr>Sheet7</vt:lpstr>
      <vt:lpstr>Sheet8</vt:lpstr>
      <vt:lpstr>Sheet9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lenovo</cp:lastModifiedBy>
  <cp:lastPrinted>2014-08-18T05:36:59Z</cp:lastPrinted>
  <dcterms:created xsi:type="dcterms:W3CDTF">2014-04-01T05:32:32Z</dcterms:created>
  <dcterms:modified xsi:type="dcterms:W3CDTF">2017-01-16T11:50:01Z</dcterms:modified>
</cp:coreProperties>
</file>